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a054a39146a3e49/Pictures/Documents/"/>
    </mc:Choice>
  </mc:AlternateContent>
  <xr:revisionPtr revIDLastSave="325" documentId="14_{BCBE15EB-D095-4306-9E06-23904AA64317}" xr6:coauthVersionLast="47" xr6:coauthVersionMax="47" xr10:uidLastSave="{D415697F-5FB8-48B4-BBA9-A076A88A2A51}"/>
  <bookViews>
    <workbookView xWindow="-108" yWindow="-108" windowWidth="23256" windowHeight="12456" activeTab="1" xr2:uid="{B44B3249-ADCF-CB44-8C1E-181EBA6D7EDD}"/>
  </bookViews>
  <sheets>
    <sheet name="Start Up Costs " sheetId="10" r:id="rId1"/>
    <sheet name="Income Statement Year 1 " sheetId="1" r:id="rId2"/>
    <sheet name="Income Statement Year 2 " sheetId="2" r:id="rId3"/>
    <sheet name="Income Statement Year 3" sheetId="3" r:id="rId4"/>
    <sheet name="Cash Flow Year 1 " sheetId="4" r:id="rId5"/>
    <sheet name="Cash Flow Year 2" sheetId="5" r:id="rId6"/>
    <sheet name="Sheet1" sheetId="11" r:id="rId7"/>
    <sheet name="Cash Flow Year 3" sheetId="6" r:id="rId8"/>
    <sheet name="Balance Sheet Year 1 " sheetId="7" r:id="rId9"/>
    <sheet name="Balance Sheet Year 2 " sheetId="8" r:id="rId10"/>
    <sheet name="Balance Sheet Year 3" sheetId="9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9" l="1"/>
  <c r="C18" i="9"/>
  <c r="C22" i="9" s="1"/>
  <c r="C12" i="9"/>
  <c r="C7" i="9"/>
  <c r="D27" i="7"/>
  <c r="D27" i="8"/>
  <c r="C18" i="8"/>
  <c r="C22" i="8" s="1"/>
  <c r="C12" i="8"/>
  <c r="C7" i="8"/>
  <c r="C13" i="8" s="1"/>
  <c r="C18" i="7"/>
  <c r="C22" i="7" s="1"/>
  <c r="C12" i="7"/>
  <c r="C7" i="7"/>
  <c r="E26" i="6"/>
  <c r="M26" i="6"/>
  <c r="L26" i="6"/>
  <c r="K26" i="6"/>
  <c r="J26" i="6"/>
  <c r="I26" i="6"/>
  <c r="H26" i="6"/>
  <c r="G26" i="6"/>
  <c r="F26" i="6"/>
  <c r="D26" i="6"/>
  <c r="C26" i="6"/>
  <c r="B26" i="6"/>
  <c r="M16" i="6"/>
  <c r="L16" i="6"/>
  <c r="K16" i="6"/>
  <c r="J16" i="6"/>
  <c r="I16" i="6"/>
  <c r="H16" i="6"/>
  <c r="G16" i="6"/>
  <c r="F16" i="6"/>
  <c r="E16" i="6"/>
  <c r="D16" i="6"/>
  <c r="C16" i="6"/>
  <c r="C29" i="6" s="1"/>
  <c r="C32" i="6" s="1"/>
  <c r="B16" i="6"/>
  <c r="M9" i="6"/>
  <c r="M31" i="6" s="1"/>
  <c r="L9" i="6"/>
  <c r="L31" i="6" s="1"/>
  <c r="K9" i="6"/>
  <c r="K31" i="6" s="1"/>
  <c r="J9" i="6"/>
  <c r="J31" i="6" s="1"/>
  <c r="I9" i="6"/>
  <c r="I31" i="6" s="1"/>
  <c r="H9" i="6"/>
  <c r="H31" i="6" s="1"/>
  <c r="G9" i="6"/>
  <c r="G31" i="6" s="1"/>
  <c r="F9" i="6"/>
  <c r="F31" i="6" s="1"/>
  <c r="E9" i="6"/>
  <c r="E31" i="6" s="1"/>
  <c r="D9" i="6"/>
  <c r="D31" i="6" s="1"/>
  <c r="C9" i="6"/>
  <c r="C31" i="6" s="1"/>
  <c r="C34" i="6" s="1"/>
  <c r="C36" i="6" s="1"/>
  <c r="B9" i="6"/>
  <c r="B31" i="6" s="1"/>
  <c r="N6" i="3"/>
  <c r="N7" i="3"/>
  <c r="N8" i="3"/>
  <c r="N9" i="3"/>
  <c r="N11" i="3"/>
  <c r="N13" i="3"/>
  <c r="N16" i="3"/>
  <c r="N17" i="3"/>
  <c r="N18" i="3"/>
  <c r="N19" i="3"/>
  <c r="N20" i="3"/>
  <c r="N21" i="3"/>
  <c r="N22" i="3"/>
  <c r="N23" i="3"/>
  <c r="N27" i="3"/>
  <c r="N28" i="3"/>
  <c r="N29" i="3"/>
  <c r="N31" i="3"/>
  <c r="N5" i="3"/>
  <c r="C26" i="5"/>
  <c r="B9" i="5"/>
  <c r="B31" i="5" s="1"/>
  <c r="M26" i="5"/>
  <c r="L26" i="5"/>
  <c r="K26" i="5"/>
  <c r="J26" i="5"/>
  <c r="I26" i="5"/>
  <c r="H26" i="5"/>
  <c r="G26" i="5"/>
  <c r="F26" i="5"/>
  <c r="E26" i="5"/>
  <c r="D26" i="5"/>
  <c r="B26" i="5"/>
  <c r="M16" i="5"/>
  <c r="L16" i="5"/>
  <c r="K16" i="5"/>
  <c r="J16" i="5"/>
  <c r="I16" i="5"/>
  <c r="H16" i="5"/>
  <c r="G16" i="5"/>
  <c r="F16" i="5"/>
  <c r="E16" i="5"/>
  <c r="D16" i="5"/>
  <c r="C16" i="5"/>
  <c r="B16" i="5"/>
  <c r="M9" i="5"/>
  <c r="M31" i="5" s="1"/>
  <c r="L9" i="5"/>
  <c r="L31" i="5" s="1"/>
  <c r="K9" i="5"/>
  <c r="K31" i="5" s="1"/>
  <c r="J9" i="5"/>
  <c r="J31" i="5" s="1"/>
  <c r="I9" i="5"/>
  <c r="I31" i="5" s="1"/>
  <c r="H9" i="5"/>
  <c r="H31" i="5" s="1"/>
  <c r="G9" i="5"/>
  <c r="G31" i="5" s="1"/>
  <c r="F9" i="5"/>
  <c r="F31" i="5" s="1"/>
  <c r="E9" i="5"/>
  <c r="E31" i="5" s="1"/>
  <c r="D9" i="5"/>
  <c r="D31" i="5" s="1"/>
  <c r="C9" i="5"/>
  <c r="C31" i="5" s="1"/>
  <c r="D31" i="3"/>
  <c r="E31" i="3"/>
  <c r="F31" i="3"/>
  <c r="G31" i="3"/>
  <c r="H31" i="3"/>
  <c r="I31" i="3"/>
  <c r="J31" i="3"/>
  <c r="K31" i="3"/>
  <c r="L31" i="3"/>
  <c r="M31" i="3"/>
  <c r="C31" i="3"/>
  <c r="E29" i="3"/>
  <c r="F29" i="3"/>
  <c r="G29" i="3"/>
  <c r="H29" i="3"/>
  <c r="I29" i="3"/>
  <c r="J29" i="3"/>
  <c r="K29" i="3"/>
  <c r="L29" i="3"/>
  <c r="M29" i="3"/>
  <c r="D29" i="3"/>
  <c r="C29" i="3"/>
  <c r="M28" i="3"/>
  <c r="L28" i="3"/>
  <c r="K28" i="3"/>
  <c r="J28" i="3"/>
  <c r="I28" i="3"/>
  <c r="H28" i="3"/>
  <c r="G28" i="3"/>
  <c r="F28" i="3"/>
  <c r="E28" i="3"/>
  <c r="D28" i="3"/>
  <c r="C28" i="3"/>
  <c r="D27" i="3"/>
  <c r="E27" i="3"/>
  <c r="F27" i="3"/>
  <c r="G27" i="3"/>
  <c r="H27" i="3"/>
  <c r="I27" i="3"/>
  <c r="J27" i="3"/>
  <c r="K27" i="3"/>
  <c r="L27" i="3"/>
  <c r="M27" i="3"/>
  <c r="C27" i="3"/>
  <c r="M6" i="3"/>
  <c r="M7" i="3"/>
  <c r="M8" i="3"/>
  <c r="M9" i="3"/>
  <c r="M11" i="3"/>
  <c r="M13" i="3"/>
  <c r="M5" i="3"/>
  <c r="L6" i="3"/>
  <c r="L7" i="3"/>
  <c r="L8" i="3"/>
  <c r="L9" i="3"/>
  <c r="L11" i="3"/>
  <c r="L13" i="3"/>
  <c r="L5" i="3"/>
  <c r="K6" i="3"/>
  <c r="K7" i="3"/>
  <c r="K8" i="3"/>
  <c r="K9" i="3"/>
  <c r="K11" i="3"/>
  <c r="K13" i="3"/>
  <c r="K5" i="3"/>
  <c r="J6" i="3"/>
  <c r="J7" i="3"/>
  <c r="J8" i="3"/>
  <c r="J9" i="3"/>
  <c r="J11" i="3"/>
  <c r="J13" i="3"/>
  <c r="J5" i="3"/>
  <c r="I6" i="3"/>
  <c r="I7" i="3"/>
  <c r="I8" i="3"/>
  <c r="I9" i="3"/>
  <c r="I11" i="3"/>
  <c r="I13" i="3"/>
  <c r="I5" i="3"/>
  <c r="H6" i="3"/>
  <c r="H7" i="3"/>
  <c r="H8" i="3"/>
  <c r="H9" i="3"/>
  <c r="H11" i="3"/>
  <c r="H13" i="3"/>
  <c r="H5" i="3"/>
  <c r="G6" i="3"/>
  <c r="G7" i="3"/>
  <c r="G8" i="3"/>
  <c r="G9" i="3"/>
  <c r="G11" i="3"/>
  <c r="G13" i="3"/>
  <c r="G5" i="3"/>
  <c r="F6" i="3"/>
  <c r="F7" i="3"/>
  <c r="F8" i="3"/>
  <c r="F9" i="3"/>
  <c r="F11" i="3"/>
  <c r="F13" i="3"/>
  <c r="F5" i="3"/>
  <c r="E6" i="3"/>
  <c r="E7" i="3"/>
  <c r="E8" i="3"/>
  <c r="E9" i="3"/>
  <c r="E11" i="3"/>
  <c r="E13" i="3"/>
  <c r="E5" i="3"/>
  <c r="D6" i="3"/>
  <c r="D7" i="3"/>
  <c r="D8" i="3"/>
  <c r="D9" i="3"/>
  <c r="D11" i="3"/>
  <c r="D13" i="3"/>
  <c r="D5" i="3"/>
  <c r="C6" i="3"/>
  <c r="C7" i="3"/>
  <c r="C8" i="3"/>
  <c r="C9" i="3"/>
  <c r="C11" i="3"/>
  <c r="C13" i="3"/>
  <c r="C5" i="3"/>
  <c r="D23" i="3"/>
  <c r="E23" i="3"/>
  <c r="F23" i="3"/>
  <c r="G23" i="3"/>
  <c r="H23" i="3"/>
  <c r="I23" i="3"/>
  <c r="J23" i="3"/>
  <c r="K23" i="3"/>
  <c r="L23" i="3"/>
  <c r="M23" i="3"/>
  <c r="C23" i="3"/>
  <c r="B31" i="3"/>
  <c r="B29" i="3"/>
  <c r="B28" i="3"/>
  <c r="B27" i="3"/>
  <c r="B23" i="3"/>
  <c r="B18" i="3"/>
  <c r="B19" i="3"/>
  <c r="B8" i="3"/>
  <c r="B7" i="3"/>
  <c r="B6" i="3"/>
  <c r="B5" i="3"/>
  <c r="M9" i="2"/>
  <c r="M11" i="2"/>
  <c r="N11" i="2" s="1"/>
  <c r="M13" i="2"/>
  <c r="M27" i="2" s="1"/>
  <c r="N27" i="2" s="1"/>
  <c r="M6" i="2"/>
  <c r="N6" i="2" s="1"/>
  <c r="M7" i="2"/>
  <c r="N7" i="2" s="1"/>
  <c r="M8" i="2"/>
  <c r="N8" i="2" s="1"/>
  <c r="M5" i="2"/>
  <c r="I54" i="3"/>
  <c r="J37" i="3"/>
  <c r="J36" i="3"/>
  <c r="J35" i="3"/>
  <c r="J34" i="3"/>
  <c r="N9" i="2"/>
  <c r="N13" i="2"/>
  <c r="N16" i="2"/>
  <c r="N17" i="2"/>
  <c r="N18" i="2"/>
  <c r="N19" i="2"/>
  <c r="N20" i="2"/>
  <c r="N21" i="2"/>
  <c r="N22" i="2"/>
  <c r="N23" i="2"/>
  <c r="N5" i="2"/>
  <c r="L31" i="2"/>
  <c r="L29" i="2"/>
  <c r="L28" i="2"/>
  <c r="L27" i="2"/>
  <c r="K31" i="2"/>
  <c r="K29" i="2"/>
  <c r="K28" i="2"/>
  <c r="K27" i="2"/>
  <c r="L6" i="2"/>
  <c r="L7" i="2"/>
  <c r="L8" i="2"/>
  <c r="L9" i="2"/>
  <c r="L11" i="2"/>
  <c r="L13" i="2"/>
  <c r="L5" i="2"/>
  <c r="K6" i="2"/>
  <c r="K7" i="2"/>
  <c r="K8" i="2"/>
  <c r="K9" i="2"/>
  <c r="K11" i="2"/>
  <c r="K13" i="2"/>
  <c r="K5" i="2"/>
  <c r="J31" i="2"/>
  <c r="J29" i="2"/>
  <c r="J28" i="2"/>
  <c r="J27" i="2"/>
  <c r="I31" i="2"/>
  <c r="I29" i="2"/>
  <c r="I28" i="2"/>
  <c r="I27" i="2"/>
  <c r="H31" i="2"/>
  <c r="H29" i="2"/>
  <c r="H28" i="2"/>
  <c r="H27" i="2"/>
  <c r="G31" i="2"/>
  <c r="G29" i="2"/>
  <c r="G28" i="2"/>
  <c r="G27" i="2"/>
  <c r="F31" i="2"/>
  <c r="F29" i="2"/>
  <c r="F28" i="2"/>
  <c r="F27" i="2"/>
  <c r="E31" i="2"/>
  <c r="E29" i="2"/>
  <c r="E28" i="2"/>
  <c r="E27" i="2"/>
  <c r="J6" i="2"/>
  <c r="J7" i="2"/>
  <c r="J8" i="2"/>
  <c r="J9" i="2"/>
  <c r="J11" i="2"/>
  <c r="J13" i="2"/>
  <c r="J5" i="2"/>
  <c r="I6" i="2"/>
  <c r="I7" i="2"/>
  <c r="I8" i="2"/>
  <c r="I9" i="2"/>
  <c r="I11" i="2"/>
  <c r="I13" i="2"/>
  <c r="I5" i="2"/>
  <c r="H6" i="2"/>
  <c r="H7" i="2"/>
  <c r="H8" i="2"/>
  <c r="H9" i="2"/>
  <c r="H11" i="2"/>
  <c r="H13" i="2"/>
  <c r="H5" i="2"/>
  <c r="G6" i="2"/>
  <c r="G7" i="2"/>
  <c r="G8" i="2"/>
  <c r="G9" i="2"/>
  <c r="G11" i="2"/>
  <c r="G13" i="2"/>
  <c r="G5" i="2"/>
  <c r="F6" i="2"/>
  <c r="F7" i="2"/>
  <c r="F8" i="2"/>
  <c r="F9" i="2"/>
  <c r="F11" i="2"/>
  <c r="F13" i="2"/>
  <c r="F5" i="2"/>
  <c r="E6" i="2"/>
  <c r="E7" i="2"/>
  <c r="E8" i="2"/>
  <c r="E9" i="2"/>
  <c r="E11" i="2"/>
  <c r="E13" i="2"/>
  <c r="E5" i="2"/>
  <c r="D31" i="2"/>
  <c r="D29" i="2"/>
  <c r="D28" i="2"/>
  <c r="D27" i="2"/>
  <c r="C31" i="2"/>
  <c r="C29" i="2"/>
  <c r="C28" i="2"/>
  <c r="C27" i="2"/>
  <c r="B31" i="2"/>
  <c r="B29" i="2"/>
  <c r="B28" i="2"/>
  <c r="B27" i="2"/>
  <c r="C13" i="2"/>
  <c r="D13" i="2" s="1"/>
  <c r="D7" i="2"/>
  <c r="D8" i="2"/>
  <c r="D9" i="2"/>
  <c r="D11" i="2"/>
  <c r="D6" i="2"/>
  <c r="D5" i="2"/>
  <c r="C6" i="2"/>
  <c r="C7" i="2"/>
  <c r="C8" i="2"/>
  <c r="C9" i="2"/>
  <c r="C11" i="2"/>
  <c r="C5" i="2"/>
  <c r="G23" i="2"/>
  <c r="H23" i="2"/>
  <c r="I23" i="2"/>
  <c r="J23" i="2"/>
  <c r="K23" i="2"/>
  <c r="L23" i="2"/>
  <c r="M23" i="2"/>
  <c r="F23" i="2"/>
  <c r="E23" i="2"/>
  <c r="D23" i="2"/>
  <c r="C23" i="2"/>
  <c r="B19" i="2"/>
  <c r="B18" i="2"/>
  <c r="B17" i="2"/>
  <c r="B23" i="2" s="1"/>
  <c r="B8" i="2"/>
  <c r="B7" i="2"/>
  <c r="B6" i="2"/>
  <c r="B5" i="2"/>
  <c r="N24" i="1"/>
  <c r="N25" i="1"/>
  <c r="N26" i="1"/>
  <c r="N28" i="1"/>
  <c r="N6" i="1"/>
  <c r="N7" i="1"/>
  <c r="N8" i="1"/>
  <c r="N10" i="1"/>
  <c r="N12" i="1"/>
  <c r="N15" i="1"/>
  <c r="N16" i="1"/>
  <c r="N17" i="1"/>
  <c r="N18" i="1"/>
  <c r="N19" i="1"/>
  <c r="N20" i="1"/>
  <c r="N21" i="1"/>
  <c r="N22" i="1"/>
  <c r="N5" i="1"/>
  <c r="N4" i="1"/>
  <c r="I56" i="2"/>
  <c r="J39" i="2"/>
  <c r="J38" i="2"/>
  <c r="J37" i="2"/>
  <c r="J36" i="2"/>
  <c r="M28" i="1"/>
  <c r="M26" i="1"/>
  <c r="M25" i="1"/>
  <c r="M24" i="1"/>
  <c r="M5" i="1"/>
  <c r="M6" i="1"/>
  <c r="M7" i="1"/>
  <c r="M8" i="1"/>
  <c r="M10" i="1"/>
  <c r="M12" i="1"/>
  <c r="M4" i="1"/>
  <c r="L28" i="1"/>
  <c r="L26" i="1"/>
  <c r="L25" i="1"/>
  <c r="L24" i="1"/>
  <c r="L5" i="1"/>
  <c r="L6" i="1"/>
  <c r="L7" i="1"/>
  <c r="L8" i="1"/>
  <c r="L10" i="1"/>
  <c r="L12" i="1"/>
  <c r="L4" i="1"/>
  <c r="K28" i="1"/>
  <c r="K26" i="1"/>
  <c r="K25" i="1"/>
  <c r="K24" i="1"/>
  <c r="K5" i="1"/>
  <c r="K6" i="1"/>
  <c r="K7" i="1"/>
  <c r="K8" i="1"/>
  <c r="K10" i="1"/>
  <c r="K12" i="1"/>
  <c r="K4" i="1"/>
  <c r="J28" i="1"/>
  <c r="J26" i="1"/>
  <c r="J25" i="1"/>
  <c r="J24" i="1"/>
  <c r="I28" i="1"/>
  <c r="I26" i="1"/>
  <c r="I25" i="1"/>
  <c r="I24" i="1"/>
  <c r="J5" i="1"/>
  <c r="J6" i="1"/>
  <c r="J7" i="1"/>
  <c r="J8" i="1"/>
  <c r="J10" i="1"/>
  <c r="J12" i="1"/>
  <c r="J4" i="1"/>
  <c r="D17" i="1"/>
  <c r="D22" i="1" s="1"/>
  <c r="D24" i="1" s="1"/>
  <c r="C17" i="1"/>
  <c r="C22" i="1"/>
  <c r="C24" i="1" s="1"/>
  <c r="I5" i="1"/>
  <c r="I6" i="1"/>
  <c r="I7" i="1"/>
  <c r="I8" i="1"/>
  <c r="I10" i="1"/>
  <c r="I12" i="1"/>
  <c r="I4" i="1"/>
  <c r="H28" i="1"/>
  <c r="H26" i="1"/>
  <c r="H25" i="1"/>
  <c r="H24" i="1"/>
  <c r="H5" i="1"/>
  <c r="H6" i="1"/>
  <c r="H7" i="1"/>
  <c r="H8" i="1"/>
  <c r="H10" i="1"/>
  <c r="H12" i="1"/>
  <c r="H4" i="1"/>
  <c r="G28" i="1"/>
  <c r="G26" i="1"/>
  <c r="G25" i="1"/>
  <c r="G24" i="1"/>
  <c r="G5" i="1"/>
  <c r="G6" i="1"/>
  <c r="G7" i="1"/>
  <c r="G8" i="1"/>
  <c r="G10" i="1"/>
  <c r="G12" i="1"/>
  <c r="G4" i="1"/>
  <c r="F28" i="1"/>
  <c r="F26" i="1"/>
  <c r="F25" i="1"/>
  <c r="F24" i="1"/>
  <c r="F5" i="1"/>
  <c r="F6" i="1"/>
  <c r="F7" i="1"/>
  <c r="F8" i="1"/>
  <c r="F10" i="1"/>
  <c r="F12" i="1"/>
  <c r="F4" i="1"/>
  <c r="E28" i="1"/>
  <c r="E26" i="1"/>
  <c r="E25" i="1"/>
  <c r="E24" i="1"/>
  <c r="F22" i="1"/>
  <c r="G22" i="1"/>
  <c r="H22" i="1"/>
  <c r="I22" i="1"/>
  <c r="J22" i="1"/>
  <c r="K22" i="1"/>
  <c r="L22" i="1"/>
  <c r="M22" i="1"/>
  <c r="E22" i="1"/>
  <c r="E10" i="1"/>
  <c r="E12" i="1"/>
  <c r="E5" i="1"/>
  <c r="E6" i="1"/>
  <c r="E7" i="1"/>
  <c r="E8" i="1"/>
  <c r="E4" i="1"/>
  <c r="D10" i="1"/>
  <c r="D12" i="1"/>
  <c r="D5" i="1"/>
  <c r="D6" i="1"/>
  <c r="D7" i="1"/>
  <c r="D8" i="1"/>
  <c r="D4" i="1"/>
  <c r="C5" i="1"/>
  <c r="C6" i="1"/>
  <c r="C7" i="1"/>
  <c r="C8" i="1"/>
  <c r="C10" i="1"/>
  <c r="C12" i="1"/>
  <c r="C4" i="1"/>
  <c r="B28" i="1"/>
  <c r="B26" i="1"/>
  <c r="B25" i="1"/>
  <c r="B24" i="1"/>
  <c r="I62" i="1"/>
  <c r="B7" i="1"/>
  <c r="B18" i="1"/>
  <c r="B17" i="1"/>
  <c r="B16" i="1"/>
  <c r="B4" i="1"/>
  <c r="B6" i="1"/>
  <c r="B5" i="1"/>
  <c r="B29" i="10"/>
  <c r="B18" i="10"/>
  <c r="C9" i="4"/>
  <c r="C31" i="4" s="1"/>
  <c r="D9" i="4"/>
  <c r="D31" i="4" s="1"/>
  <c r="E9" i="4"/>
  <c r="E31" i="4" s="1"/>
  <c r="F9" i="4"/>
  <c r="F31" i="4" s="1"/>
  <c r="G9" i="4"/>
  <c r="G31" i="4" s="1"/>
  <c r="H9" i="4"/>
  <c r="H31" i="4" s="1"/>
  <c r="I9" i="4"/>
  <c r="I31" i="4" s="1"/>
  <c r="J9" i="4"/>
  <c r="J31" i="4" s="1"/>
  <c r="K9" i="4"/>
  <c r="K31" i="4" s="1"/>
  <c r="L9" i="4"/>
  <c r="L31" i="4" s="1"/>
  <c r="M9" i="4"/>
  <c r="M31" i="4" s="1"/>
  <c r="C26" i="4"/>
  <c r="D26" i="4"/>
  <c r="E26" i="4"/>
  <c r="E29" i="4" s="1"/>
  <c r="E32" i="4" s="1"/>
  <c r="F26" i="4"/>
  <c r="G26" i="4"/>
  <c r="H26" i="4"/>
  <c r="I26" i="4"/>
  <c r="J26" i="4"/>
  <c r="K26" i="4"/>
  <c r="L26" i="4"/>
  <c r="M26" i="4"/>
  <c r="C16" i="4"/>
  <c r="D16" i="4"/>
  <c r="E16" i="4"/>
  <c r="F16" i="4"/>
  <c r="G16" i="4"/>
  <c r="H16" i="4"/>
  <c r="I16" i="4"/>
  <c r="J16" i="4"/>
  <c r="K16" i="4"/>
  <c r="L16" i="4"/>
  <c r="M16" i="4"/>
  <c r="B26" i="4"/>
  <c r="B16" i="4"/>
  <c r="B9" i="4"/>
  <c r="B31" i="4" s="1"/>
  <c r="C13" i="9" l="1"/>
  <c r="C27" i="9" s="1"/>
  <c r="C28" i="9" s="1"/>
  <c r="C27" i="8"/>
  <c r="C28" i="8" s="1"/>
  <c r="C13" i="7"/>
  <c r="C27" i="7" s="1"/>
  <c r="C28" i="7" s="1"/>
  <c r="D29" i="6"/>
  <c r="D32" i="6" s="1"/>
  <c r="D34" i="6" s="1"/>
  <c r="D36" i="6" s="1"/>
  <c r="B29" i="6"/>
  <c r="B32" i="6" s="1"/>
  <c r="B34" i="6" s="1"/>
  <c r="C3" i="6" s="1"/>
  <c r="C11" i="6" s="1"/>
  <c r="M29" i="6"/>
  <c r="M32" i="6" s="1"/>
  <c r="M34" i="6" s="1"/>
  <c r="M36" i="6" s="1"/>
  <c r="L29" i="6"/>
  <c r="L32" i="6" s="1"/>
  <c r="L34" i="6" s="1"/>
  <c r="L36" i="6" s="1"/>
  <c r="K29" i="6"/>
  <c r="K32" i="6" s="1"/>
  <c r="K34" i="6" s="1"/>
  <c r="K36" i="6" s="1"/>
  <c r="J29" i="6"/>
  <c r="J32" i="6" s="1"/>
  <c r="J34" i="6" s="1"/>
  <c r="J36" i="6" s="1"/>
  <c r="I29" i="6"/>
  <c r="I32" i="6" s="1"/>
  <c r="I34" i="6" s="1"/>
  <c r="I36" i="6" s="1"/>
  <c r="H29" i="6"/>
  <c r="H32" i="6" s="1"/>
  <c r="H34" i="6" s="1"/>
  <c r="H36" i="6" s="1"/>
  <c r="G29" i="6"/>
  <c r="G32" i="6" s="1"/>
  <c r="G34" i="6" s="1"/>
  <c r="G36" i="6" s="1"/>
  <c r="F29" i="6"/>
  <c r="F32" i="6" s="1"/>
  <c r="F34" i="6" s="1"/>
  <c r="F36" i="6" s="1"/>
  <c r="E29" i="6"/>
  <c r="E32" i="6" s="1"/>
  <c r="E34" i="6" s="1"/>
  <c r="E36" i="6" s="1"/>
  <c r="B11" i="6"/>
  <c r="F29" i="5"/>
  <c r="F32" i="5" s="1"/>
  <c r="G29" i="5"/>
  <c r="G32" i="5" s="1"/>
  <c r="G34" i="5" s="1"/>
  <c r="G36" i="5" s="1"/>
  <c r="H29" i="5"/>
  <c r="H32" i="5" s="1"/>
  <c r="J29" i="5"/>
  <c r="J32" i="5" s="1"/>
  <c r="J34" i="5" s="1"/>
  <c r="J36" i="5" s="1"/>
  <c r="K29" i="5"/>
  <c r="K32" i="5" s="1"/>
  <c r="I29" i="5"/>
  <c r="I32" i="5" s="1"/>
  <c r="I34" i="5" s="1"/>
  <c r="I36" i="5" s="1"/>
  <c r="K34" i="5"/>
  <c r="K36" i="5" s="1"/>
  <c r="L29" i="5"/>
  <c r="L32" i="5" s="1"/>
  <c r="L34" i="5" s="1"/>
  <c r="L36" i="5" s="1"/>
  <c r="M29" i="5"/>
  <c r="M32" i="5" s="1"/>
  <c r="M34" i="5" s="1"/>
  <c r="M36" i="5" s="1"/>
  <c r="E29" i="5"/>
  <c r="E32" i="5" s="1"/>
  <c r="E34" i="5" s="1"/>
  <c r="E36" i="5" s="1"/>
  <c r="C29" i="5"/>
  <c r="C32" i="5" s="1"/>
  <c r="C34" i="5" s="1"/>
  <c r="C36" i="5" s="1"/>
  <c r="D29" i="5"/>
  <c r="D32" i="5" s="1"/>
  <c r="D34" i="5" s="1"/>
  <c r="D36" i="5" s="1"/>
  <c r="B29" i="5"/>
  <c r="B32" i="5" s="1"/>
  <c r="B34" i="5" s="1"/>
  <c r="C3" i="5" s="1"/>
  <c r="H34" i="5"/>
  <c r="H36" i="5" s="1"/>
  <c r="F34" i="5"/>
  <c r="F36" i="5" s="1"/>
  <c r="B11" i="5"/>
  <c r="K29" i="4"/>
  <c r="K32" i="4" s="1"/>
  <c r="D29" i="4"/>
  <c r="D32" i="4" s="1"/>
  <c r="D34" i="4" s="1"/>
  <c r="D36" i="4" s="1"/>
  <c r="J29" i="4"/>
  <c r="J32" i="4" s="1"/>
  <c r="J34" i="4" s="1"/>
  <c r="J36" i="4" s="1"/>
  <c r="I29" i="4"/>
  <c r="I32" i="4" s="1"/>
  <c r="I34" i="4" s="1"/>
  <c r="I36" i="4" s="1"/>
  <c r="C29" i="4"/>
  <c r="C32" i="4" s="1"/>
  <c r="C34" i="4" s="1"/>
  <c r="C36" i="4" s="1"/>
  <c r="M29" i="4"/>
  <c r="M32" i="4" s="1"/>
  <c r="M34" i="4" s="1"/>
  <c r="M36" i="4" s="1"/>
  <c r="L29" i="4"/>
  <c r="L32" i="4" s="1"/>
  <c r="L34" i="4" s="1"/>
  <c r="L36" i="4" s="1"/>
  <c r="H29" i="4"/>
  <c r="H32" i="4" s="1"/>
  <c r="H34" i="4" s="1"/>
  <c r="H36" i="4" s="1"/>
  <c r="G29" i="4"/>
  <c r="G32" i="4" s="1"/>
  <c r="G34" i="4" s="1"/>
  <c r="G36" i="4" s="1"/>
  <c r="F29" i="4"/>
  <c r="F32" i="4" s="1"/>
  <c r="F34" i="4" s="1"/>
  <c r="F36" i="4" s="1"/>
  <c r="K34" i="4"/>
  <c r="K36" i="4" s="1"/>
  <c r="E34" i="4"/>
  <c r="E36" i="4" s="1"/>
  <c r="B9" i="3"/>
  <c r="M31" i="2"/>
  <c r="N31" i="2" s="1"/>
  <c r="M28" i="2"/>
  <c r="N28" i="2" s="1"/>
  <c r="J38" i="3"/>
  <c r="B9" i="2"/>
  <c r="J40" i="2"/>
  <c r="D25" i="1"/>
  <c r="D26" i="1" s="1"/>
  <c r="D28" i="1" s="1"/>
  <c r="C25" i="1"/>
  <c r="C26" i="1" s="1"/>
  <c r="C28" i="1" s="1"/>
  <c r="B8" i="1"/>
  <c r="B22" i="1"/>
  <c r="B29" i="4"/>
  <c r="B32" i="4" s="1"/>
  <c r="B34" i="4" s="1"/>
  <c r="B11" i="4"/>
  <c r="B36" i="6" l="1"/>
  <c r="D3" i="6"/>
  <c r="D11" i="6" s="1"/>
  <c r="B36" i="5"/>
  <c r="C3" i="4"/>
  <c r="C11" i="4" s="1"/>
  <c r="B36" i="4"/>
  <c r="B11" i="3"/>
  <c r="B13" i="3" s="1"/>
  <c r="M29" i="2"/>
  <c r="N29" i="2" s="1"/>
  <c r="B11" i="2"/>
  <c r="B13" i="2"/>
  <c r="B10" i="1"/>
  <c r="B12" i="1" s="1"/>
  <c r="E3" i="6" l="1"/>
  <c r="E11" i="6" s="1"/>
  <c r="D3" i="5"/>
  <c r="C11" i="5"/>
  <c r="D3" i="4"/>
  <c r="E3" i="4" s="1"/>
  <c r="F3" i="6" l="1"/>
  <c r="E3" i="5"/>
  <c r="E11" i="5" s="1"/>
  <c r="D11" i="5"/>
  <c r="D11" i="4"/>
  <c r="F3" i="4"/>
  <c r="E11" i="4"/>
  <c r="F11" i="6" l="1"/>
  <c r="G3" i="6"/>
  <c r="F3" i="5"/>
  <c r="F11" i="5" s="1"/>
  <c r="F11" i="4"/>
  <c r="G3" i="4"/>
  <c r="H3" i="6" l="1"/>
  <c r="G11" i="6"/>
  <c r="G3" i="5"/>
  <c r="G11" i="5" s="1"/>
  <c r="G11" i="4"/>
  <c r="H3" i="4"/>
  <c r="I3" i="6" l="1"/>
  <c r="H11" i="6"/>
  <c r="H3" i="5"/>
  <c r="H11" i="5" s="1"/>
  <c r="I3" i="4"/>
  <c r="H11" i="4"/>
  <c r="J3" i="6" l="1"/>
  <c r="I11" i="6"/>
  <c r="I3" i="5"/>
  <c r="I11" i="5" s="1"/>
  <c r="I11" i="4"/>
  <c r="J3" i="4"/>
  <c r="K3" i="6" l="1"/>
  <c r="J11" i="6"/>
  <c r="J3" i="5"/>
  <c r="J11" i="5" s="1"/>
  <c r="J11" i="4"/>
  <c r="K3" i="4"/>
  <c r="L3" i="6" l="1"/>
  <c r="K11" i="6"/>
  <c r="K3" i="5"/>
  <c r="K11" i="5" s="1"/>
  <c r="L3" i="4"/>
  <c r="K11" i="4"/>
  <c r="M3" i="6" l="1"/>
  <c r="M11" i="6" s="1"/>
  <c r="L11" i="6"/>
  <c r="L3" i="5"/>
  <c r="L11" i="5" s="1"/>
  <c r="L11" i="4"/>
  <c r="M3" i="4"/>
  <c r="M11" i="4" s="1"/>
  <c r="M3" i="5" l="1"/>
  <c r="M11" i="5" s="1"/>
</calcChain>
</file>

<file path=xl/sharedStrings.xml><?xml version="1.0" encoding="utf-8"?>
<sst xmlns="http://schemas.openxmlformats.org/spreadsheetml/2006/main" count="437" uniqueCount="155">
  <si>
    <t xml:space="preserve">Income Statement Year 1 </t>
  </si>
  <si>
    <t>Income Statement Year 2</t>
  </si>
  <si>
    <t>Income Statement Year 3</t>
  </si>
  <si>
    <t xml:space="preserve">Cash Flow Year 1 </t>
  </si>
  <si>
    <t>Cash Flow Year 2</t>
  </si>
  <si>
    <t>Cash Flow Year 3</t>
  </si>
  <si>
    <t xml:space="preserve">Revenue </t>
  </si>
  <si>
    <t xml:space="preserve">Month 1 </t>
  </si>
  <si>
    <t xml:space="preserve">Month 2 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</si>
  <si>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</si>
  <si>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</si>
  <si>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</si>
  <si>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</si>
  <si>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</si>
  <si>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</si>
  <si>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</si>
  <si>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</si>
  <si>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</si>
  <si>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</si>
  <si>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Annual Total </t>
  </si>
  <si>
    <t xml:space="preserve">Cost </t>
  </si>
  <si>
    <t xml:space="preserve">Item Description </t>
  </si>
  <si>
    <t xml:space="preserve">Past Purchases Items Already Bought for the Business </t>
  </si>
  <si>
    <t xml:space="preserve">Funding Sources </t>
  </si>
  <si>
    <t xml:space="preserve">Total Start Up Costs </t>
  </si>
  <si>
    <t xml:space="preserve">Total Expenses </t>
  </si>
  <si>
    <t>Net Profit After Tax</t>
  </si>
  <si>
    <t>COGS</t>
  </si>
  <si>
    <t>Cash on Hand (beginnning of the month)</t>
  </si>
  <si>
    <t>Accounts Receivable</t>
  </si>
  <si>
    <t>Cash Sales</t>
  </si>
  <si>
    <t>Cash In</t>
  </si>
  <si>
    <t xml:space="preserve">Total Cash In </t>
  </si>
  <si>
    <t>Cash Out</t>
  </si>
  <si>
    <t xml:space="preserve">Operating Expenses </t>
  </si>
  <si>
    <t>Subtotal Operating expenses</t>
  </si>
  <si>
    <t xml:space="preserve">Subtotal Cash Out </t>
  </si>
  <si>
    <t xml:space="preserve">Total Cash Out </t>
  </si>
  <si>
    <t>Total Cash Inlays</t>
  </si>
  <si>
    <t>Total Cash Outlays</t>
  </si>
  <si>
    <t>Total Cash Available Before Cash Outlays</t>
  </si>
  <si>
    <t xml:space="preserve">Net Changes in Cash </t>
  </si>
  <si>
    <t>Retained Earnings</t>
  </si>
  <si>
    <t xml:space="preserve">Ending Cash Balance </t>
  </si>
  <si>
    <t>Gross Profit (Gross Revenue - COGS)</t>
  </si>
  <si>
    <t xml:space="preserve">Expenses </t>
  </si>
  <si>
    <t>Marketing &amp; Advertising</t>
  </si>
  <si>
    <t>Miscellaneous Expenses</t>
  </si>
  <si>
    <t>Net Profit Before Tax (Gross profit - Total expenses)</t>
  </si>
  <si>
    <t xml:space="preserve">Estimated Income Tax 11% </t>
  </si>
  <si>
    <t>Canada small business financing program</t>
  </si>
  <si>
    <t>Angel Investor (Venture capital)</t>
  </si>
  <si>
    <t>Crowd funding (GoFundMe)</t>
  </si>
  <si>
    <t xml:space="preserve">Grant </t>
  </si>
  <si>
    <t xml:space="preserve">Total Funding Sources </t>
  </si>
  <si>
    <t xml:space="preserve">Start up costs total </t>
  </si>
  <si>
    <t>Kitchen Equipment</t>
  </si>
  <si>
    <t>Furniture &amp; Fixtures</t>
  </si>
  <si>
    <t>Initial Inventory (Food &amp; Supplies)</t>
  </si>
  <si>
    <t>Marketing &amp; Branding</t>
  </si>
  <si>
    <t>Business Registration &amp; Licenses</t>
  </si>
  <si>
    <t>Technology (POS, Website, Online Ordering)</t>
  </si>
  <si>
    <t>Miscellaneous &amp; Contingency</t>
  </si>
  <si>
    <t>Catering Services</t>
  </si>
  <si>
    <t xml:space="preserve">Gross Revenue </t>
  </si>
  <si>
    <t>profit margin percentage (Net income/Revenue) *100</t>
  </si>
  <si>
    <t>Equipment Maintenance &amp; Repairs</t>
  </si>
  <si>
    <t>Month 1</t>
  </si>
  <si>
    <t>Revenue Estimations Based on Customer Volume &amp; Average Spending</t>
  </si>
  <si>
    <t>Revenue Source</t>
  </si>
  <si>
    <t>Avg. Customers Per Day</t>
  </si>
  <si>
    <t>Days in 1 Month</t>
  </si>
  <si>
    <t>Avg. Spend per Customer ($CAD)</t>
  </si>
  <si>
    <t>Total Revenue ($CAD)</t>
  </si>
  <si>
    <t>Dine-In Sales</t>
  </si>
  <si>
    <t>Takeout &amp; Delivery</t>
  </si>
  <si>
    <t>-</t>
  </si>
  <si>
    <t>Breakdown of Operating Expenses (For 1 Month, 24 Days of Operation)</t>
  </si>
  <si>
    <t>Expense Category</t>
  </si>
  <si>
    <t>Assumption Basis</t>
  </si>
  <si>
    <t>Estimated Cost per Unit ($CAD)</t>
  </si>
  <si>
    <t>Total Monthly Cost ($CAD)</t>
  </si>
  <si>
    <t>Rent &amp; Utilities</t>
  </si>
  <si>
    <t>Fixed cost (monthly lease + electricity, gas, water, internet)</t>
  </si>
  <si>
    <t>Flat rate</t>
  </si>
  <si>
    <t>Staff Salaries</t>
  </si>
  <si>
    <t>Licensing &amp; Permits</t>
  </si>
  <si>
    <t>Small repairs + kitchen maintenance</t>
  </si>
  <si>
    <t>Estimate</t>
  </si>
  <si>
    <t>Delivery Service Fees</t>
  </si>
  <si>
    <t>$1 per order</t>
  </si>
  <si>
    <t>Cleaning supplies, small admin costs, etc.</t>
  </si>
  <si>
    <t>Estimated</t>
  </si>
  <si>
    <t>Total Operating Expenses</t>
  </si>
  <si>
    <t>Miscellaneous Expenses Cleaning supplies, small admin costs, etc.</t>
  </si>
  <si>
    <t>Licensing &amp; Permits (Annual cost divided monthly. $1200 per year divided by 12 )</t>
  </si>
  <si>
    <t>Beverage Sales (Soft drinks, Palm Wine, etc.)</t>
  </si>
  <si>
    <t xml:space="preserve">Estimation on COGS = 35 % of revenue from industry benchmark ethnic restaurants that use imported ingredients </t>
  </si>
  <si>
    <t>Cost of Goods Sold (35%)</t>
  </si>
  <si>
    <t>Marketing &amp; Advertising ( Social media ads + flyers + promotions. $100 per week)</t>
  </si>
  <si>
    <t>1 orders/day × 24 days × $1 per order (SkipTheDishes, UberEats, etc.)</t>
  </si>
  <si>
    <t>Staff Salaries (2 employees- chef and waiter. $1000 per employee)</t>
  </si>
  <si>
    <t>Estimated income tax= 11%</t>
  </si>
  <si>
    <t>Month 2</t>
  </si>
  <si>
    <t>ESTIMATIONS BELOW</t>
  </si>
  <si>
    <t xml:space="preserve">Takeout &amp; Delivery </t>
  </si>
  <si>
    <t>Staff Salaries (2 employees- chef and waiter. $1300 per employee)</t>
  </si>
  <si>
    <t>Staff Salaries (4 employees- chefs and waiters))</t>
  </si>
  <si>
    <t>2 orders/day × 24 days × $1 per order (SkipTheDishes, UberEats, etc.)</t>
  </si>
  <si>
    <t>Beverage Sales (local palm wine, soft drinksSoft drinks, etc.)</t>
  </si>
  <si>
    <t>Marketing &amp; Advertising ( Social media ads + flyers + promotions. $150 per week)</t>
  </si>
  <si>
    <r>
      <t xml:space="preserve">🔹 </t>
    </r>
    <r>
      <rPr>
        <b/>
        <sz val="12"/>
        <color theme="1"/>
        <rFont val="Calibri"/>
        <family val="2"/>
        <scheme val="minor"/>
      </rPr>
      <t>Total Estimated Revenue</t>
    </r>
  </si>
  <si>
    <r>
      <t xml:space="preserve">🔹 </t>
    </r>
    <r>
      <rPr>
        <b/>
        <sz val="12"/>
        <color theme="1"/>
        <rFont val="Calibri"/>
        <family val="2"/>
        <scheme val="minor"/>
      </rPr>
      <t xml:space="preserve">Total Estimated Revenue </t>
    </r>
  </si>
  <si>
    <t>Cash</t>
  </si>
  <si>
    <t>Inventory &amp; Supplies</t>
  </si>
  <si>
    <t>Total Current Assets</t>
  </si>
  <si>
    <t>Accumulated Depreciation</t>
  </si>
  <si>
    <t>Net Fixed Assets</t>
  </si>
  <si>
    <t>Total Assets</t>
  </si>
  <si>
    <t>Accounts Payable</t>
  </si>
  <si>
    <t>Loan Payable</t>
  </si>
  <si>
    <t>Other Liabilities (Taxes, Misc.)</t>
  </si>
  <si>
    <t>Total Liabilities</t>
  </si>
  <si>
    <t>Equity</t>
  </si>
  <si>
    <t>Owner’s Capital</t>
  </si>
  <si>
    <t>Retained Earnings (Balancing Figure)</t>
  </si>
  <si>
    <t>Total Equity</t>
  </si>
  <si>
    <t>Total Liabilities &amp; Equity</t>
  </si>
  <si>
    <t>Current Assets</t>
  </si>
  <si>
    <t>Fixed Assets</t>
  </si>
  <si>
    <t>Equipment and  Furniture</t>
  </si>
  <si>
    <t>Balance Sheet  as at 31st December 2025</t>
  </si>
  <si>
    <t xml:space="preserve">Current Liabilities </t>
  </si>
  <si>
    <t>Long Term Liabilities</t>
  </si>
  <si>
    <t>Total Current Liabilities</t>
  </si>
  <si>
    <t>NOTES:</t>
  </si>
  <si>
    <t>Balance Sheet  as at 31st December 2026</t>
  </si>
  <si>
    <t>N/A</t>
  </si>
  <si>
    <t>Partner 1 (FIDELIA)</t>
  </si>
  <si>
    <t>Partner 2 (JUDITH)</t>
  </si>
  <si>
    <t>Partner 3 (BENEDICTA)</t>
  </si>
  <si>
    <t xml:space="preserve">Lease Deposit </t>
  </si>
  <si>
    <t>Start Up Costs - African Restaurant</t>
  </si>
  <si>
    <r>
      <t xml:space="preserve">   ✅Liabilities Smoothly Reduce</t>
    </r>
    <r>
      <rPr>
        <sz val="12"/>
        <color theme="1"/>
        <rFont val="Calibri"/>
        <family val="2"/>
        <scheme val="minor"/>
      </rPr>
      <t xml:space="preserve">: Loan repayment is </t>
    </r>
    <r>
      <rPr>
        <b/>
        <sz val="12"/>
        <color theme="1"/>
        <rFont val="Calibri"/>
        <family val="2"/>
        <scheme val="minor"/>
      </rPr>
      <t>evenly distributed</t>
    </r>
    <r>
      <rPr>
        <sz val="12"/>
        <color theme="1"/>
        <rFont val="Calibri"/>
        <family val="2"/>
        <scheme val="minor"/>
      </rPr>
      <t xml:space="preserve"> over 3 years.</t>
    </r>
  </si>
  <si>
    <t xml:space="preserve">   ✅Business starts with a manageable debt repayment plan.</t>
  </si>
  <si>
    <r>
      <t xml:space="preserve">   ✅</t>
    </r>
    <r>
      <rPr>
        <b/>
        <sz val="12"/>
        <color theme="1"/>
        <rFont val="Calibri"/>
        <family val="2"/>
        <scheme val="minor"/>
      </rPr>
      <t>Cash flow improves significantly by Year 3.</t>
    </r>
  </si>
  <si>
    <r>
      <t xml:space="preserve">   ✅</t>
    </r>
    <r>
      <rPr>
        <b/>
        <sz val="12"/>
        <color theme="1"/>
        <rFont val="Calibri"/>
        <family val="2"/>
        <scheme val="minor"/>
      </rPr>
      <t>Debt-free by the end of Year 3.</t>
    </r>
  </si>
  <si>
    <r>
      <t xml:space="preserve">   ✅</t>
    </r>
    <r>
      <rPr>
        <b/>
        <sz val="12"/>
        <color theme="1"/>
        <rFont val="Calibri"/>
        <family val="2"/>
        <scheme val="minor"/>
      </rPr>
      <t>Profitable by Year 3, shown by positive retained earnings.</t>
    </r>
  </si>
  <si>
    <r>
      <t>✅Revenue Growth:</t>
    </r>
    <r>
      <rPr>
        <sz val="12"/>
        <color theme="1"/>
        <rFont val="Times New Roman"/>
        <family val="1"/>
      </rPr>
      <t xml:space="preserve"> The business gains more customers yearly, leading to increased revenue.</t>
    </r>
  </si>
  <si>
    <r>
      <t>✅Fixed Assets:</t>
    </r>
    <r>
      <rPr>
        <sz val="12"/>
        <color theme="1"/>
        <rFont val="Times New Roman"/>
        <family val="1"/>
      </rPr>
      <t xml:space="preserve"> Kitchen equipment and furniture worth </t>
    </r>
    <r>
      <rPr>
        <b/>
        <sz val="12"/>
        <color theme="1"/>
        <rFont val="Times New Roman"/>
        <family val="1"/>
      </rPr>
      <t>$15,000</t>
    </r>
    <r>
      <rPr>
        <sz val="12"/>
        <color theme="1"/>
        <rFont val="Times New Roman"/>
        <family val="1"/>
      </rPr>
      <t>, depreciated over 5 years.</t>
    </r>
  </si>
  <si>
    <r>
      <t>✅Retained Earnings:</t>
    </r>
    <r>
      <rPr>
        <sz val="12"/>
        <color theme="1"/>
        <rFont val="Times New Roman"/>
        <family val="1"/>
      </rPr>
      <t xml:space="preserve"> Net income grows as expenses stabilize and revenue increases.</t>
    </r>
  </si>
  <si>
    <r>
      <t>✅Liabilities:</t>
    </r>
    <r>
      <rPr>
        <sz val="12"/>
        <color theme="1"/>
        <rFont val="Times New Roman"/>
        <family val="1"/>
      </rPr>
      <t xml:space="preserve"> Includes short-term accounts payable (for food supplies, rent) </t>
    </r>
  </si>
  <si>
    <t>Balance Sheet as at 31st December 2027</t>
  </si>
  <si>
    <r>
      <t>✅Initial Capital:</t>
    </r>
    <r>
      <rPr>
        <sz val="12"/>
        <color theme="1"/>
        <rFont val="Times New Roman"/>
        <family val="1"/>
      </rPr>
      <t xml:space="preserve"> $30,000 investment from the owners.</t>
    </r>
  </si>
  <si>
    <r>
      <t>✅Accounts Receivable:</t>
    </r>
    <r>
      <rPr>
        <sz val="12"/>
        <color theme="1"/>
        <rFont val="Times New Roman"/>
        <family val="1"/>
      </rPr>
      <t xml:space="preserve"> Increases slightly as sales grow, assume a small portion of sales is on credit.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</si>
</sst>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;[Red]\-&quot;$&quot;#,##0.0"/>
    <numFmt numFmtId="165" formatCode="&quot;$&quot;#,##0.00"/>
  </numFmts>
  <fonts count="2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3.5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Courier New"/>
      <family val="1"/>
    </font>
    <font>
      <b/>
      <sz val="13.5"/>
      <color rgb="FF000000"/>
      <name val="Calibri"/>
      <family val="2"/>
      <scheme val="minor"/>
    </font>
    <font>
      <sz val="10"/>
      <color rgb="FF000000"/>
      <name val="Arial Unicode MS"/>
      <family val="2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3.5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2"/>
    </xf>
    <xf numFmtId="0" fontId="8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/>
    </xf>
    <xf numFmtId="0" fontId="7" fillId="0" borderId="0" xfId="0" applyFont="1"/>
    <xf numFmtId="0" fontId="12" fillId="0" borderId="0" xfId="0" applyFont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4" fillId="0" borderId="0" xfId="0" applyFont="1"/>
    <xf numFmtId="6" fontId="12" fillId="0" borderId="0" xfId="0" applyNumberFormat="1" applyFont="1" applyAlignment="1">
      <alignment vertical="center" wrapText="1"/>
    </xf>
    <xf numFmtId="6" fontId="12" fillId="0" borderId="0" xfId="0" applyNumberFormat="1" applyFont="1"/>
    <xf numFmtId="8" fontId="12" fillId="0" borderId="0" xfId="0" applyNumberFormat="1" applyFont="1"/>
    <xf numFmtId="0" fontId="16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6" fontId="0" fillId="0" borderId="0" xfId="0" applyNumberFormat="1" applyAlignment="1">
      <alignment vertical="center" wrapText="1"/>
    </xf>
    <xf numFmtId="164" fontId="0" fillId="0" borderId="0" xfId="0" applyNumberFormat="1"/>
    <xf numFmtId="9" fontId="0" fillId="0" borderId="0" xfId="0" applyNumberFormat="1"/>
    <xf numFmtId="6" fontId="1" fillId="0" borderId="0" xfId="0" applyNumberFormat="1" applyFont="1" applyAlignment="1">
      <alignment vertical="center" wrapText="1"/>
    </xf>
    <xf numFmtId="10" fontId="0" fillId="0" borderId="0" xfId="0" applyNumberFormat="1"/>
    <xf numFmtId="8" fontId="0" fillId="0" borderId="0" xfId="0" applyNumberFormat="1"/>
    <xf numFmtId="0" fontId="17" fillId="0" borderId="0" xfId="0" applyFont="1"/>
    <xf numFmtId="3" fontId="0" fillId="0" borderId="0" xfId="0" applyNumberFormat="1"/>
    <xf numFmtId="6" fontId="0" fillId="0" borderId="0" xfId="0" applyNumberFormat="1"/>
    <xf numFmtId="0" fontId="16" fillId="2" borderId="0" xfId="0" applyFont="1" applyFill="1" applyAlignment="1">
      <alignment vertical="center"/>
    </xf>
    <xf numFmtId="0" fontId="0" fillId="2" borderId="0" xfId="0" applyFill="1"/>
    <xf numFmtId="0" fontId="18" fillId="3" borderId="0" xfId="0" applyFont="1" applyFill="1"/>
    <xf numFmtId="0" fontId="0" fillId="3" borderId="0" xfId="0" applyFill="1"/>
    <xf numFmtId="6" fontId="3" fillId="0" borderId="0" xfId="0" applyNumberFormat="1" applyFont="1"/>
    <xf numFmtId="2" fontId="0" fillId="0" borderId="0" xfId="0" applyNumberFormat="1"/>
    <xf numFmtId="9" fontId="3" fillId="0" borderId="0" xfId="0" applyNumberFormat="1" applyFont="1"/>
    <xf numFmtId="8" fontId="3" fillId="0" borderId="0" xfId="0" applyNumberFormat="1" applyFont="1"/>
    <xf numFmtId="10" fontId="3" fillId="0" borderId="0" xfId="0" applyNumberFormat="1" applyFont="1"/>
    <xf numFmtId="8" fontId="1" fillId="0" borderId="0" xfId="0" applyNumberFormat="1" applyFont="1"/>
    <xf numFmtId="6" fontId="20" fillId="0" borderId="0" xfId="0" applyNumberFormat="1" applyFont="1"/>
    <xf numFmtId="6" fontId="1" fillId="0" borderId="0" xfId="0" applyNumberFormat="1" applyFont="1"/>
    <xf numFmtId="8" fontId="21" fillId="0" borderId="0" xfId="0" applyNumberFormat="1" applyFont="1"/>
    <xf numFmtId="0" fontId="1" fillId="3" borderId="0" xfId="0" applyFont="1" applyFill="1"/>
    <xf numFmtId="165" fontId="0" fillId="0" borderId="0" xfId="0" applyNumberFormat="1"/>
    <xf numFmtId="165" fontId="0" fillId="0" borderId="0" xfId="1" applyNumberFormat="1" applyFont="1"/>
    <xf numFmtId="165" fontId="12" fillId="0" borderId="0" xfId="1" applyNumberFormat="1" applyFont="1" applyAlignment="1">
      <alignment vertical="center" wrapText="1"/>
    </xf>
    <xf numFmtId="165" fontId="12" fillId="0" borderId="0" xfId="0" applyNumberFormat="1" applyFont="1" applyAlignment="1">
      <alignment vertical="center" wrapText="1"/>
    </xf>
    <xf numFmtId="165" fontId="12" fillId="0" borderId="0" xfId="0" applyNumberFormat="1" applyFont="1"/>
    <xf numFmtId="165" fontId="3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 vertical="center" indent="1"/>
    </xf>
    <xf numFmtId="6" fontId="13" fillId="0" borderId="0" xfId="0" applyNumberFormat="1" applyFont="1" applyAlignment="1">
      <alignment vertical="center" wrapText="1"/>
    </xf>
    <xf numFmtId="8" fontId="12" fillId="0" borderId="0" xfId="0" applyNumberFormat="1" applyFont="1" applyAlignment="1">
      <alignment vertical="center" wrapText="1"/>
    </xf>
    <xf numFmtId="0" fontId="0" fillId="0" borderId="0" xfId="0" applyFont="1"/>
    <xf numFmtId="8" fontId="21" fillId="0" borderId="0" xfId="0" applyNumberFormat="1" applyFont="1" applyAlignment="1">
      <alignment vertical="center" wrapText="1"/>
    </xf>
    <xf numFmtId="6" fontId="22" fillId="0" borderId="0" xfId="0" applyNumberFormat="1" applyFont="1"/>
    <xf numFmtId="0" fontId="16" fillId="3" borderId="0" xfId="0" applyFont="1" applyFill="1" applyAlignment="1">
      <alignment vertical="center"/>
    </xf>
    <xf numFmtId="165" fontId="15" fillId="0" borderId="0" xfId="0" applyNumberFormat="1" applyFont="1"/>
    <xf numFmtId="6" fontId="15" fillId="0" borderId="0" xfId="0" applyNumberFormat="1" applyFont="1"/>
  </cellXfs>
  <cellStyles count="2">
    <cellStyle name="Currency" xfId="1" builtinId="4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B790-EBE9-6E4F-99D1-F8AE6AB93EB1}">
  <dimension ref="A1:Q39"/>
  <sheetViews>
    <sheetView zoomScale="170" zoomScaleNormal="170" workbookViewId="0">
      <selection activeCell="B29" sqref="B29"/>
    </sheetView>
  </sheetViews>
  <sheetFormatPr defaultColWidth="11.19921875" defaultRowHeight="15.6"/>
  <cols>
    <col min="1" max="1" width="34.3984375" customWidth="1"/>
  </cols>
  <sheetData>
    <row r="1" spans="1:17">
      <c r="A1" s="62" t="s">
        <v>142</v>
      </c>
      <c r="B1" s="62"/>
      <c r="C1" s="62"/>
    </row>
    <row r="2" spans="1:17">
      <c r="A2" s="63" t="s">
        <v>22</v>
      </c>
      <c r="B2" s="63"/>
      <c r="C2" s="63"/>
    </row>
    <row r="3" spans="1:17">
      <c r="A3" s="23" t="s">
        <v>21</v>
      </c>
      <c r="B3" s="23" t="s">
        <v>20</v>
      </c>
      <c r="C3" s="24"/>
    </row>
    <row r="4" spans="1:17" ht="16.05" customHeight="1">
      <c r="A4" s="24" t="s">
        <v>137</v>
      </c>
      <c r="B4" s="24"/>
      <c r="C4" s="24"/>
      <c r="G4" s="2"/>
      <c r="H4" s="2"/>
      <c r="I4" s="2"/>
      <c r="J4" s="2"/>
    </row>
    <row r="5" spans="1:17">
      <c r="A5" s="24" t="s">
        <v>137</v>
      </c>
      <c r="B5" s="24"/>
      <c r="C5" s="24"/>
      <c r="I5" s="2"/>
      <c r="J5" s="2"/>
    </row>
    <row r="6" spans="1:17">
      <c r="A6" s="24" t="s">
        <v>137</v>
      </c>
      <c r="B6" s="24"/>
      <c r="C6" s="24"/>
      <c r="D6" s="3"/>
      <c r="E6" s="3"/>
      <c r="F6" s="3"/>
      <c r="G6" s="3"/>
      <c r="H6" s="3"/>
      <c r="I6" s="2"/>
      <c r="J6" s="2"/>
    </row>
    <row r="7" spans="1:17">
      <c r="A7" s="24"/>
      <c r="B7" s="24"/>
      <c r="C7" s="24"/>
      <c r="D7" s="3"/>
      <c r="E7" s="3"/>
      <c r="F7" s="3"/>
      <c r="G7" s="3"/>
      <c r="H7" s="3"/>
      <c r="I7" s="2"/>
      <c r="J7" s="2"/>
    </row>
    <row r="8" spans="1:17">
      <c r="A8" s="24"/>
      <c r="B8" s="24"/>
      <c r="C8" s="24"/>
      <c r="D8" s="3"/>
      <c r="E8" s="3"/>
      <c r="F8" s="3"/>
      <c r="G8" s="3"/>
      <c r="H8" s="3"/>
      <c r="I8" s="2"/>
      <c r="P8" s="2"/>
      <c r="Q8" s="2"/>
    </row>
    <row r="9" spans="1:17">
      <c r="A9" s="24"/>
      <c r="B9" s="24"/>
      <c r="C9" s="24"/>
      <c r="I9" s="2"/>
      <c r="P9" s="2"/>
      <c r="Q9" s="2"/>
    </row>
    <row r="10" spans="1:17" ht="16.05" customHeight="1">
      <c r="A10" s="25" t="s">
        <v>23</v>
      </c>
      <c r="B10" s="24"/>
      <c r="C10" s="24"/>
      <c r="I10" s="2"/>
    </row>
    <row r="11" spans="1:17">
      <c r="A11" s="24" t="s">
        <v>138</v>
      </c>
      <c r="B11" s="71">
        <v>4000</v>
      </c>
      <c r="C11" s="24"/>
      <c r="I11" s="2"/>
    </row>
    <row r="12" spans="1:17">
      <c r="A12" s="24" t="s">
        <v>139</v>
      </c>
      <c r="B12" s="71">
        <v>4000</v>
      </c>
      <c r="C12" s="24"/>
      <c r="I12" s="2"/>
    </row>
    <row r="13" spans="1:17">
      <c r="A13" s="24" t="s">
        <v>140</v>
      </c>
      <c r="B13" s="71">
        <v>4000</v>
      </c>
      <c r="C13" s="24"/>
    </row>
    <row r="14" spans="1:17">
      <c r="A14" s="24" t="s">
        <v>50</v>
      </c>
      <c r="B14" s="71">
        <v>10000</v>
      </c>
      <c r="C14" s="24"/>
    </row>
    <row r="15" spans="1:17">
      <c r="A15" s="24" t="s">
        <v>51</v>
      </c>
      <c r="B15" s="71">
        <v>5000</v>
      </c>
      <c r="C15" s="24"/>
    </row>
    <row r="16" spans="1:17">
      <c r="A16" s="24" t="s">
        <v>52</v>
      </c>
      <c r="B16" s="71">
        <v>3000</v>
      </c>
      <c r="C16" s="24"/>
    </row>
    <row r="17" spans="1:3">
      <c r="A17" s="24" t="s">
        <v>53</v>
      </c>
      <c r="B17" s="72">
        <v>0</v>
      </c>
      <c r="C17" s="24"/>
    </row>
    <row r="18" spans="1:3" ht="16.05" customHeight="1">
      <c r="A18" s="25" t="s">
        <v>54</v>
      </c>
      <c r="B18" s="71">
        <f>SUM(B11:B17)</f>
        <v>30000</v>
      </c>
      <c r="C18" s="24"/>
    </row>
    <row r="19" spans="1:3">
      <c r="A19" s="24"/>
      <c r="B19" s="24"/>
      <c r="C19" s="24"/>
    </row>
    <row r="20" spans="1:3">
      <c r="A20" s="25" t="s">
        <v>55</v>
      </c>
      <c r="B20" s="24"/>
      <c r="C20" s="24"/>
    </row>
    <row r="21" spans="1:3">
      <c r="A21" s="24" t="s">
        <v>141</v>
      </c>
      <c r="B21" s="71">
        <v>6000</v>
      </c>
      <c r="C21" s="24"/>
    </row>
    <row r="22" spans="1:3">
      <c r="A22" s="24" t="s">
        <v>56</v>
      </c>
      <c r="B22" s="71">
        <v>8000</v>
      </c>
      <c r="C22" s="24"/>
    </row>
    <row r="23" spans="1:3">
      <c r="A23" s="24" t="s">
        <v>57</v>
      </c>
      <c r="B23" s="71">
        <v>4000</v>
      </c>
      <c r="C23" s="24"/>
    </row>
    <row r="24" spans="1:3">
      <c r="A24" s="24" t="s">
        <v>58</v>
      </c>
      <c r="B24" s="71">
        <v>3000</v>
      </c>
      <c r="C24" s="24"/>
    </row>
    <row r="25" spans="1:3">
      <c r="A25" s="24" t="s">
        <v>59</v>
      </c>
      <c r="B25" s="71">
        <v>2000</v>
      </c>
      <c r="C25" s="24"/>
    </row>
    <row r="26" spans="1:3">
      <c r="A26" s="24" t="s">
        <v>60</v>
      </c>
      <c r="B26" s="71">
        <v>1500</v>
      </c>
      <c r="C26" s="24"/>
    </row>
    <row r="27" spans="1:3">
      <c r="A27" s="24" t="s">
        <v>61</v>
      </c>
      <c r="B27" s="71">
        <v>2500</v>
      </c>
      <c r="C27" s="24"/>
    </row>
    <row r="28" spans="1:3">
      <c r="A28" s="24" t="s">
        <v>62</v>
      </c>
      <c r="B28" s="71">
        <v>3000</v>
      </c>
      <c r="C28" s="24"/>
    </row>
    <row r="29" spans="1:3">
      <c r="A29" s="25" t="s">
        <v>24</v>
      </c>
      <c r="B29" s="71">
        <f>SUM(B21:B28)</f>
        <v>30000</v>
      </c>
      <c r="C29" s="24"/>
    </row>
    <row r="30" spans="1:3">
      <c r="A30" s="24"/>
      <c r="B30" s="24"/>
      <c r="C30" s="24"/>
    </row>
    <row r="31" spans="1:3">
      <c r="A31" s="24"/>
      <c r="B31" s="24"/>
      <c r="C31" s="24"/>
    </row>
    <row r="32" spans="1:3">
      <c r="A32" s="24"/>
      <c r="B32" s="24"/>
      <c r="C32" s="24"/>
    </row>
    <row r="33" spans="1:3">
      <c r="A33" s="24"/>
      <c r="B33" s="24"/>
      <c r="C33" s="24"/>
    </row>
    <row r="34" spans="1:3">
      <c r="A34" s="19"/>
      <c r="B34" s="19"/>
      <c r="C34" s="19"/>
    </row>
    <row r="35" spans="1:3">
      <c r="A35" s="19"/>
      <c r="B35" s="19"/>
      <c r="C35" s="19"/>
    </row>
    <row r="36" spans="1:3">
      <c r="A36" s="19"/>
      <c r="B36" s="19"/>
      <c r="C36" s="19"/>
    </row>
    <row r="37" spans="1:3">
      <c r="A37" s="19"/>
      <c r="B37" s="19"/>
      <c r="C37" s="19"/>
    </row>
    <row r="38" spans="1:3">
      <c r="A38" s="19"/>
      <c r="B38" s="19"/>
      <c r="C38" s="19"/>
    </row>
    <row r="39" spans="1:3">
      <c r="A39" s="19"/>
      <c r="B39" s="19"/>
      <c r="C39" s="19"/>
    </row>
  </sheetData>
  <mergeCells count="2">
    <mergeCell ref="A1:C1"/>
    <mergeCell ref="A2:C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B6F2-ED8F-7B4B-9A9F-B8704A1B90CB}">
  <dimension ref="A1:D34"/>
  <sheetViews>
    <sheetView workbookViewId="0">
      <selection activeCell="C26" sqref="C26"/>
    </sheetView>
  </sheetViews>
  <sheetFormatPr defaultColWidth="11.19921875" defaultRowHeight="15.6"/>
  <sheetData>
    <row r="1" spans="1:3">
      <c r="A1" s="1" t="s">
        <v>136</v>
      </c>
    </row>
    <row r="3" spans="1:3">
      <c r="A3" s="22" t="s">
        <v>128</v>
      </c>
    </row>
    <row r="4" spans="1:3">
      <c r="A4" s="19" t="s">
        <v>113</v>
      </c>
      <c r="C4" s="66">
        <v>12944.09</v>
      </c>
    </row>
    <row r="5" spans="1:3">
      <c r="A5" s="19" t="s">
        <v>29</v>
      </c>
      <c r="C5" s="26">
        <v>3000</v>
      </c>
    </row>
    <row r="6" spans="1:3">
      <c r="A6" s="19" t="s">
        <v>114</v>
      </c>
      <c r="C6" s="26">
        <v>5000</v>
      </c>
    </row>
    <row r="7" spans="1:3">
      <c r="A7" s="22" t="s">
        <v>115</v>
      </c>
      <c r="C7" s="51">
        <f>SUM(C4:C6)</f>
        <v>20944.09</v>
      </c>
    </row>
    <row r="9" spans="1:3">
      <c r="A9" s="22" t="s">
        <v>129</v>
      </c>
    </row>
    <row r="10" spans="1:3">
      <c r="A10" s="19" t="s">
        <v>130</v>
      </c>
      <c r="C10" s="27">
        <v>15000</v>
      </c>
    </row>
    <row r="11" spans="1:3">
      <c r="A11" s="19" t="s">
        <v>116</v>
      </c>
      <c r="C11" s="52">
        <v>6000</v>
      </c>
    </row>
    <row r="12" spans="1:3">
      <c r="A12" s="22" t="s">
        <v>117</v>
      </c>
      <c r="C12" s="53">
        <f>C10-C11</f>
        <v>9000</v>
      </c>
    </row>
    <row r="13" spans="1:3">
      <c r="A13" s="22" t="s">
        <v>118</v>
      </c>
      <c r="C13" s="51">
        <f>C7+C12</f>
        <v>29944.09</v>
      </c>
    </row>
    <row r="15" spans="1:3">
      <c r="A15" s="22" t="s">
        <v>132</v>
      </c>
    </row>
    <row r="16" spans="1:3">
      <c r="A16" s="19" t="s">
        <v>119</v>
      </c>
      <c r="C16" s="41">
        <v>3500</v>
      </c>
    </row>
    <row r="17" spans="1:4" ht="62.4">
      <c r="A17" s="20" t="s">
        <v>121</v>
      </c>
      <c r="C17" s="41">
        <v>2500</v>
      </c>
    </row>
    <row r="18" spans="1:4" ht="46.8">
      <c r="A18" s="21" t="s">
        <v>134</v>
      </c>
      <c r="C18" s="53">
        <f>C16+C17</f>
        <v>6000</v>
      </c>
    </row>
    <row r="19" spans="1:4">
      <c r="A19" s="21"/>
      <c r="C19" s="67"/>
    </row>
    <row r="20" spans="1:4">
      <c r="A20" s="22" t="s">
        <v>133</v>
      </c>
      <c r="C20" s="67"/>
    </row>
    <row r="21" spans="1:4">
      <c r="A21" s="19" t="s">
        <v>120</v>
      </c>
      <c r="C21" s="27">
        <v>6000</v>
      </c>
    </row>
    <row r="22" spans="1:4">
      <c r="A22" s="22" t="s">
        <v>122</v>
      </c>
      <c r="C22" s="53">
        <f>C18+C21</f>
        <v>12000</v>
      </c>
    </row>
    <row r="24" spans="1:4">
      <c r="A24" s="22" t="s">
        <v>123</v>
      </c>
    </row>
    <row r="25" spans="1:4">
      <c r="A25" s="19" t="s">
        <v>124</v>
      </c>
      <c r="C25" s="65">
        <v>30000</v>
      </c>
    </row>
    <row r="26" spans="1:4">
      <c r="A26" s="19" t="s">
        <v>125</v>
      </c>
      <c r="C26" s="68">
        <v>12055.91</v>
      </c>
    </row>
    <row r="27" spans="1:4">
      <c r="A27" s="22" t="s">
        <v>126</v>
      </c>
      <c r="C27" s="51">
        <f>C13-C22</f>
        <v>17944.09</v>
      </c>
      <c r="D27" s="51">
        <f>C25-C26</f>
        <v>17944.09</v>
      </c>
    </row>
    <row r="28" spans="1:4">
      <c r="A28" s="22" t="s">
        <v>127</v>
      </c>
      <c r="C28" s="51">
        <f>C22+C27</f>
        <v>29944.09</v>
      </c>
    </row>
    <row r="31" spans="1:4">
      <c r="A31" s="55" t="s">
        <v>135</v>
      </c>
    </row>
    <row r="33" spans="1:1">
      <c r="A33" s="64" t="s">
        <v>148</v>
      </c>
    </row>
    <row r="34" spans="1:1">
      <c r="A34" s="64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B00DE-F3F4-454E-92DB-ED0DF06D9E89}">
  <dimension ref="A1:D36"/>
  <sheetViews>
    <sheetView workbookViewId="0">
      <selection activeCell="C11" sqref="C11"/>
    </sheetView>
  </sheetViews>
  <sheetFormatPr defaultColWidth="11.19921875" defaultRowHeight="15.6"/>
  <sheetData>
    <row r="1" spans="1:3">
      <c r="A1" s="1" t="s">
        <v>152</v>
      </c>
    </row>
    <row r="3" spans="1:3">
      <c r="A3" s="22" t="s">
        <v>128</v>
      </c>
    </row>
    <row r="4" spans="1:3">
      <c r="A4" s="19" t="s">
        <v>113</v>
      </c>
      <c r="C4" s="66">
        <v>35613.22</v>
      </c>
    </row>
    <row r="5" spans="1:3">
      <c r="A5" s="19" t="s">
        <v>29</v>
      </c>
      <c r="C5" s="26">
        <v>1186</v>
      </c>
    </row>
    <row r="6" spans="1:3">
      <c r="A6" s="19" t="s">
        <v>114</v>
      </c>
      <c r="C6" s="26">
        <v>6000</v>
      </c>
    </row>
    <row r="7" spans="1:3">
      <c r="A7" s="22" t="s">
        <v>115</v>
      </c>
      <c r="C7" s="51">
        <f>SUM(C4:C6)</f>
        <v>42799.22</v>
      </c>
    </row>
    <row r="9" spans="1:3">
      <c r="A9" s="22" t="s">
        <v>129</v>
      </c>
    </row>
    <row r="10" spans="1:3">
      <c r="A10" s="19" t="s">
        <v>130</v>
      </c>
      <c r="C10" s="26">
        <v>15000</v>
      </c>
    </row>
    <row r="11" spans="1:3">
      <c r="A11" s="19" t="s">
        <v>116</v>
      </c>
      <c r="C11" s="52">
        <v>9000</v>
      </c>
    </row>
    <row r="12" spans="1:3">
      <c r="A12" s="22" t="s">
        <v>117</v>
      </c>
      <c r="C12" s="53">
        <f>C10-C11</f>
        <v>6000</v>
      </c>
    </row>
    <row r="13" spans="1:3">
      <c r="A13" s="22" t="s">
        <v>118</v>
      </c>
      <c r="C13" s="51">
        <f>C7+C12</f>
        <v>48799.22</v>
      </c>
    </row>
    <row r="15" spans="1:3">
      <c r="A15" s="22" t="s">
        <v>132</v>
      </c>
    </row>
    <row r="16" spans="1:3">
      <c r="A16" s="19" t="s">
        <v>119</v>
      </c>
      <c r="C16" s="27">
        <v>4200</v>
      </c>
    </row>
    <row r="17" spans="1:4" ht="62.4">
      <c r="A17" s="20" t="s">
        <v>121</v>
      </c>
      <c r="C17" s="27">
        <v>3000</v>
      </c>
    </row>
    <row r="18" spans="1:4" ht="46.8">
      <c r="A18" s="21" t="s">
        <v>134</v>
      </c>
      <c r="C18" s="53">
        <f>C16+C17</f>
        <v>7200</v>
      </c>
    </row>
    <row r="19" spans="1:4">
      <c r="A19" s="21"/>
    </row>
    <row r="20" spans="1:4">
      <c r="A20" s="22" t="s">
        <v>133</v>
      </c>
    </row>
    <row r="21" spans="1:4">
      <c r="A21" s="19" t="s">
        <v>120</v>
      </c>
      <c r="C21" s="69">
        <v>0</v>
      </c>
    </row>
    <row r="22" spans="1:4">
      <c r="A22" s="22" t="s">
        <v>122</v>
      </c>
      <c r="C22" s="53">
        <f>C18+C21</f>
        <v>7200</v>
      </c>
    </row>
    <row r="24" spans="1:4">
      <c r="A24" s="22" t="s">
        <v>123</v>
      </c>
    </row>
    <row r="25" spans="1:4">
      <c r="A25" s="19" t="s">
        <v>124</v>
      </c>
      <c r="C25" s="26">
        <v>30000</v>
      </c>
    </row>
    <row r="26" spans="1:4">
      <c r="A26" s="19" t="s">
        <v>125</v>
      </c>
      <c r="C26" s="66">
        <v>11599.22</v>
      </c>
    </row>
    <row r="27" spans="1:4">
      <c r="A27" s="22" t="s">
        <v>126</v>
      </c>
      <c r="C27" s="51">
        <f>C13-C22</f>
        <v>41599.22</v>
      </c>
      <c r="D27" s="51">
        <f>C25+C26</f>
        <v>41599.22</v>
      </c>
    </row>
    <row r="28" spans="1:4">
      <c r="A28" s="22" t="s">
        <v>127</v>
      </c>
      <c r="C28" s="51">
        <f>C22+C27</f>
        <v>48799.22</v>
      </c>
    </row>
    <row r="31" spans="1:4">
      <c r="A31" s="55" t="s">
        <v>135</v>
      </c>
    </row>
    <row r="33" spans="1:1">
      <c r="A33" s="1" t="s">
        <v>143</v>
      </c>
    </row>
    <row r="34" spans="1:1">
      <c r="A34" t="s">
        <v>145</v>
      </c>
    </row>
    <row r="35" spans="1:1">
      <c r="A35" t="s">
        <v>146</v>
      </c>
    </row>
    <row r="36" spans="1:1">
      <c r="A36" t="s">
        <v>147</v>
      </c>
    </row>
  </sheetData>
  <conditionalFormatting sqref="C11">
    <cfRule type="expression" dxfId="0" priority="1">
      <formula>C11&lt;0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6A47A-C8F6-8845-8E07-0C42F635DB59}">
  <dimension ref="A1:P65"/>
  <sheetViews>
    <sheetView tabSelected="1" workbookViewId="0">
      <selection activeCell="I34" sqref="I34"/>
    </sheetView>
  </sheetViews>
  <sheetFormatPr defaultColWidth="11.19921875" defaultRowHeight="15.6"/>
  <cols>
    <col min="1" max="1" width="56.5" customWidth="1"/>
    <col min="2" max="2" width="12.09765625" customWidth="1"/>
    <col min="6" max="6" width="11.8984375" customWidth="1"/>
  </cols>
  <sheetData>
    <row r="1" spans="1:16">
      <c r="A1" s="19" t="s">
        <v>0</v>
      </c>
      <c r="B1" s="19" t="s">
        <v>67</v>
      </c>
      <c r="C1" s="19" t="s">
        <v>103</v>
      </c>
      <c r="D1" s="19" t="s">
        <v>9</v>
      </c>
      <c r="E1" s="19" t="s">
        <v>10</v>
      </c>
      <c r="F1" s="19" t="s">
        <v>11</v>
      </c>
      <c r="G1" s="19" t="s">
        <v>12</v>
      </c>
      <c r="H1" s="19" t="s">
        <v>13</v>
      </c>
      <c r="I1" s="19" t="s">
        <v>14</v>
      </c>
      <c r="J1" s="19" t="s">
        <v>15</v>
      </c>
      <c r="K1" s="19" t="s">
        <v>16</v>
      </c>
      <c r="L1" s="19" t="s">
        <v>17</v>
      </c>
      <c r="M1" s="19" t="s">
        <v>18</v>
      </c>
      <c r="N1" t="s">
        <v>19</v>
      </c>
      <c r="O1" s="19"/>
      <c r="P1" s="19"/>
    </row>
    <row r="2" spans="1:16">
      <c r="A2" s="19"/>
      <c r="B2" s="19"/>
    </row>
    <row r="3" spans="1:16">
      <c r="A3" s="22" t="s">
        <v>6</v>
      </c>
      <c r="B3" s="19"/>
      <c r="C3" s="35">
        <v>0.1</v>
      </c>
      <c r="D3" s="37">
        <v>0.105</v>
      </c>
      <c r="E3" s="37">
        <v>0.107</v>
      </c>
      <c r="F3" s="37">
        <v>0.1079</v>
      </c>
      <c r="G3" s="35">
        <v>-0.03</v>
      </c>
      <c r="H3" s="35">
        <v>-0.02</v>
      </c>
      <c r="I3" s="35">
        <v>0.09</v>
      </c>
      <c r="J3" s="37">
        <v>9.1999999999999998E-2</v>
      </c>
      <c r="K3" s="37">
        <v>9.2200000000000004E-2</v>
      </c>
      <c r="L3" s="37">
        <v>8.7999999999999995E-2</v>
      </c>
      <c r="M3" s="37">
        <v>8.7800000000000003E-2</v>
      </c>
    </row>
    <row r="4" spans="1:16">
      <c r="A4" s="31" t="s">
        <v>74</v>
      </c>
      <c r="B4" s="27">
        <f>G42*H42*I42</f>
        <v>2520</v>
      </c>
      <c r="C4" s="34">
        <f>B4+(B4*0.1)</f>
        <v>2772</v>
      </c>
      <c r="D4" s="34">
        <f>C4+(C4*0.105)</f>
        <v>3063.06</v>
      </c>
      <c r="E4" s="38">
        <f>D4+(D4*0.107)</f>
        <v>3390.8074200000001</v>
      </c>
      <c r="F4" s="38">
        <f>E4+(E4*0.1079)</f>
        <v>3756.675540618</v>
      </c>
      <c r="G4" s="38">
        <f>F4*(1-0.03)</f>
        <v>3643.97527439946</v>
      </c>
      <c r="H4" s="38">
        <f>G4*(1-0.02)</f>
        <v>3571.0957689114707</v>
      </c>
      <c r="I4" s="38">
        <f>H4+(H4*0.09)</f>
        <v>3892.4943881135032</v>
      </c>
      <c r="J4" s="38">
        <f>I4+(I4*0.092)</f>
        <v>4250.6038718199452</v>
      </c>
      <c r="K4" s="38">
        <f>J4+(J4*0.09222)</f>
        <v>4642.5945608791808</v>
      </c>
      <c r="L4" s="38">
        <f>K4+(K4*0.088)</f>
        <v>5051.1428822365488</v>
      </c>
      <c r="M4" s="38">
        <f>L4+(L4*0.0878)</f>
        <v>5494.6332272969175</v>
      </c>
      <c r="N4" s="41">
        <f>SUM(B4:M4)</f>
        <v>46049.082934275022</v>
      </c>
    </row>
    <row r="5" spans="1:16">
      <c r="A5" s="19" t="s">
        <v>105</v>
      </c>
      <c r="B5" s="27">
        <f>G43*H43*I43</f>
        <v>1200</v>
      </c>
      <c r="C5" s="34">
        <f t="shared" ref="C5:C6" si="0">B5+(B5*0.1)</f>
        <v>1320</v>
      </c>
      <c r="D5" s="34">
        <f t="shared" ref="D5:D12" si="1">C5+(C5*0.105)</f>
        <v>1458.6</v>
      </c>
      <c r="E5" s="38">
        <f t="shared" ref="E5:E12" si="2">D5+(D5*0.107)</f>
        <v>1614.6702</v>
      </c>
      <c r="F5" s="38">
        <f t="shared" ref="F5:F12" si="3">E5+(E5*0.1079)</f>
        <v>1788.89311458</v>
      </c>
      <c r="G5" s="38">
        <f t="shared" ref="G5:G12" si="4">F5*(1-0.03)</f>
        <v>1735.2263211426</v>
      </c>
      <c r="H5" s="38">
        <f t="shared" ref="H5:H12" si="5">G5*(1-0.02)</f>
        <v>1700.521794719748</v>
      </c>
      <c r="I5" s="38">
        <f t="shared" ref="I5:I12" si="6">H5+(H5*0.09)</f>
        <v>1853.5687562445253</v>
      </c>
      <c r="J5" s="38">
        <f t="shared" ref="J5:J12" si="7">I5+(I5*0.092)</f>
        <v>2024.0970818190217</v>
      </c>
      <c r="K5" s="38">
        <f t="shared" ref="K5:K12" si="8">J5+(J5*0.09222)</f>
        <v>2210.7593147043717</v>
      </c>
      <c r="L5" s="38">
        <f t="shared" ref="L5:L12" si="9">K5+(K5*0.088)</f>
        <v>2405.3061343983563</v>
      </c>
      <c r="M5" s="38">
        <f t="shared" ref="M5:M12" si="10">L5+(L5*0.0878)</f>
        <v>2616.4920129985321</v>
      </c>
      <c r="N5" s="41">
        <f>SUM(B5:M5)</f>
        <v>21928.134730607158</v>
      </c>
    </row>
    <row r="6" spans="1:16">
      <c r="A6" s="31" t="s">
        <v>63</v>
      </c>
      <c r="B6" s="27">
        <f>G44*I44</f>
        <v>1500</v>
      </c>
      <c r="C6" s="34">
        <f t="shared" si="0"/>
        <v>1650</v>
      </c>
      <c r="D6" s="34">
        <f t="shared" si="1"/>
        <v>1823.25</v>
      </c>
      <c r="E6" s="38">
        <f t="shared" si="2"/>
        <v>2018.3377499999999</v>
      </c>
      <c r="F6" s="38">
        <f t="shared" si="3"/>
        <v>2236.1163932250001</v>
      </c>
      <c r="G6" s="38">
        <f t="shared" si="4"/>
        <v>2169.0329014282502</v>
      </c>
      <c r="H6" s="38">
        <f t="shared" si="5"/>
        <v>2125.6522433996852</v>
      </c>
      <c r="I6" s="38">
        <f t="shared" si="6"/>
        <v>2316.9609453056569</v>
      </c>
      <c r="J6" s="38">
        <f t="shared" si="7"/>
        <v>2530.1213522737771</v>
      </c>
      <c r="K6" s="38">
        <f t="shared" si="8"/>
        <v>2763.4491433804646</v>
      </c>
      <c r="L6" s="38">
        <f t="shared" si="9"/>
        <v>3006.6326679979456</v>
      </c>
      <c r="M6" s="38">
        <f t="shared" si="10"/>
        <v>3270.6150162481654</v>
      </c>
      <c r="N6" s="41">
        <f t="shared" ref="N6:N28" si="11">SUM(B6:M6)</f>
        <v>27410.168413258947</v>
      </c>
    </row>
    <row r="7" spans="1:16">
      <c r="A7" s="19" t="s">
        <v>96</v>
      </c>
      <c r="B7" s="27">
        <f>G45*H45*I45</f>
        <v>960</v>
      </c>
      <c r="C7" s="34">
        <f t="shared" ref="C7:C12" si="12">B7+(B7*0.1)</f>
        <v>1056</v>
      </c>
      <c r="D7" s="34">
        <f t="shared" si="1"/>
        <v>1166.8800000000001</v>
      </c>
      <c r="E7" s="38">
        <f t="shared" si="2"/>
        <v>1291.7361600000002</v>
      </c>
      <c r="F7" s="38">
        <f t="shared" si="3"/>
        <v>1431.1144916640001</v>
      </c>
      <c r="G7" s="38">
        <f t="shared" si="4"/>
        <v>1388.18105691408</v>
      </c>
      <c r="H7" s="38">
        <f t="shared" si="5"/>
        <v>1360.4174357757984</v>
      </c>
      <c r="I7" s="38">
        <f t="shared" si="6"/>
        <v>1482.8550049956202</v>
      </c>
      <c r="J7" s="38">
        <f t="shared" si="7"/>
        <v>1619.2776654552172</v>
      </c>
      <c r="K7" s="38">
        <f t="shared" si="8"/>
        <v>1768.6074517634972</v>
      </c>
      <c r="L7" s="38">
        <f t="shared" si="9"/>
        <v>1924.2449075186851</v>
      </c>
      <c r="M7" s="38">
        <f t="shared" si="10"/>
        <v>2093.1936103988255</v>
      </c>
      <c r="N7" s="41">
        <f t="shared" si="11"/>
        <v>17542.507784485722</v>
      </c>
    </row>
    <row r="8" spans="1:16">
      <c r="A8" s="22" t="s">
        <v>64</v>
      </c>
      <c r="B8" s="27">
        <f>SUM(B4:B7)</f>
        <v>6180</v>
      </c>
      <c r="C8" s="34">
        <f t="shared" si="12"/>
        <v>6798</v>
      </c>
      <c r="D8" s="34">
        <f t="shared" si="1"/>
        <v>7511.79</v>
      </c>
      <c r="E8" s="38">
        <f t="shared" si="2"/>
        <v>8315.5515300000006</v>
      </c>
      <c r="F8" s="38">
        <f t="shared" si="3"/>
        <v>9212.7995400870004</v>
      </c>
      <c r="G8" s="38">
        <f t="shared" si="4"/>
        <v>8936.4155538843897</v>
      </c>
      <c r="H8" s="38">
        <f t="shared" si="5"/>
        <v>8757.6872428067018</v>
      </c>
      <c r="I8" s="38">
        <f t="shared" si="6"/>
        <v>9545.8790946593053</v>
      </c>
      <c r="J8" s="38">
        <f t="shared" si="7"/>
        <v>10424.099971367961</v>
      </c>
      <c r="K8" s="38">
        <f t="shared" si="8"/>
        <v>11385.410470727515</v>
      </c>
      <c r="L8" s="38">
        <f t="shared" si="9"/>
        <v>12387.326592151536</v>
      </c>
      <c r="M8" s="38">
        <f t="shared" si="10"/>
        <v>13474.933866942441</v>
      </c>
      <c r="N8" s="41">
        <f t="shared" si="11"/>
        <v>112929.89386262686</v>
      </c>
    </row>
    <row r="9" spans="1:16">
      <c r="A9" s="22"/>
      <c r="B9" s="19"/>
      <c r="C9" s="34"/>
      <c r="D9" s="34"/>
      <c r="E9" s="38"/>
      <c r="F9" s="38"/>
      <c r="G9" s="38"/>
      <c r="H9" s="38"/>
      <c r="I9" s="38"/>
      <c r="J9" s="38"/>
      <c r="K9" s="38"/>
      <c r="L9" s="38"/>
      <c r="M9" s="38"/>
      <c r="N9" s="41"/>
    </row>
    <row r="10" spans="1:16">
      <c r="A10" s="21" t="s">
        <v>98</v>
      </c>
      <c r="B10" s="26">
        <f>F50/100*B8</f>
        <v>2163</v>
      </c>
      <c r="C10" s="34">
        <f t="shared" si="12"/>
        <v>2379.3000000000002</v>
      </c>
      <c r="D10" s="34">
        <f t="shared" si="1"/>
        <v>2629.1265000000003</v>
      </c>
      <c r="E10" s="38">
        <f t="shared" si="2"/>
        <v>2910.4430355000004</v>
      </c>
      <c r="F10" s="38">
        <f t="shared" si="3"/>
        <v>3224.4798390304504</v>
      </c>
      <c r="G10" s="38">
        <f t="shared" si="4"/>
        <v>3127.7454438595369</v>
      </c>
      <c r="H10" s="38">
        <f t="shared" si="5"/>
        <v>3065.190534982346</v>
      </c>
      <c r="I10" s="38">
        <f t="shared" si="6"/>
        <v>3341.0576831307571</v>
      </c>
      <c r="J10" s="38">
        <f t="shared" si="7"/>
        <v>3648.4349899787867</v>
      </c>
      <c r="K10" s="38">
        <f t="shared" si="8"/>
        <v>3984.8936647546302</v>
      </c>
      <c r="L10" s="38">
        <f t="shared" si="9"/>
        <v>4335.5643072530374</v>
      </c>
      <c r="M10" s="38">
        <f t="shared" si="10"/>
        <v>4716.2268534298546</v>
      </c>
      <c r="N10" s="41">
        <f t="shared" si="11"/>
        <v>39525.462851919401</v>
      </c>
    </row>
    <row r="11" spans="1:16">
      <c r="A11" s="20"/>
      <c r="B11" s="26"/>
      <c r="C11" s="34"/>
      <c r="D11" s="34"/>
      <c r="E11" s="38"/>
      <c r="F11" s="38"/>
      <c r="G11" s="38"/>
      <c r="H11" s="38"/>
      <c r="I11" s="38"/>
      <c r="J11" s="38"/>
      <c r="K11" s="38"/>
      <c r="L11" s="38"/>
      <c r="M11" s="38"/>
      <c r="N11" s="41"/>
    </row>
    <row r="12" spans="1:16">
      <c r="A12" s="22" t="s">
        <v>44</v>
      </c>
      <c r="B12" s="26">
        <f>B8-B10</f>
        <v>4017</v>
      </c>
      <c r="C12" s="34">
        <f t="shared" si="12"/>
        <v>4418.7</v>
      </c>
      <c r="D12" s="34">
        <f t="shared" si="1"/>
        <v>4882.6634999999997</v>
      </c>
      <c r="E12" s="38">
        <f t="shared" si="2"/>
        <v>5405.1084944999993</v>
      </c>
      <c r="F12" s="38">
        <f t="shared" si="3"/>
        <v>5988.3197010565491</v>
      </c>
      <c r="G12" s="38">
        <f t="shared" si="4"/>
        <v>5808.6701100248529</v>
      </c>
      <c r="H12" s="38">
        <f t="shared" si="5"/>
        <v>5692.4967078243553</v>
      </c>
      <c r="I12" s="38">
        <f t="shared" si="6"/>
        <v>6204.8214115285473</v>
      </c>
      <c r="J12" s="38">
        <f t="shared" si="7"/>
        <v>6775.6649813891736</v>
      </c>
      <c r="K12" s="38">
        <f t="shared" si="8"/>
        <v>7400.516805972883</v>
      </c>
      <c r="L12" s="38">
        <f t="shared" si="9"/>
        <v>8051.7622848984965</v>
      </c>
      <c r="M12" s="38">
        <f t="shared" si="10"/>
        <v>8758.707013512585</v>
      </c>
      <c r="N12" s="41">
        <f t="shared" si="11"/>
        <v>73404.431010707442</v>
      </c>
    </row>
    <row r="13" spans="1:16">
      <c r="A13" s="19"/>
      <c r="B13" s="19"/>
      <c r="C13" s="34"/>
      <c r="N13" s="41"/>
    </row>
    <row r="14" spans="1:16">
      <c r="A14" s="22" t="s">
        <v>45</v>
      </c>
      <c r="B14" s="19"/>
      <c r="C14" s="34"/>
      <c r="N14" s="41"/>
    </row>
    <row r="15" spans="1:16">
      <c r="A15" t="s">
        <v>82</v>
      </c>
      <c r="B15" s="26">
        <v>900</v>
      </c>
      <c r="C15" s="34">
        <v>900</v>
      </c>
      <c r="D15" s="57">
        <v>900</v>
      </c>
      <c r="E15" s="56">
        <v>900</v>
      </c>
      <c r="F15" s="56">
        <v>900</v>
      </c>
      <c r="G15" s="56">
        <v>900</v>
      </c>
      <c r="H15" s="56">
        <v>900</v>
      </c>
      <c r="I15" s="56">
        <v>900</v>
      </c>
      <c r="J15" s="56">
        <v>900</v>
      </c>
      <c r="K15" s="56">
        <v>900</v>
      </c>
      <c r="L15" s="56">
        <v>900</v>
      </c>
      <c r="M15" s="56">
        <v>900</v>
      </c>
      <c r="N15" s="41">
        <f t="shared" si="11"/>
        <v>10800</v>
      </c>
    </row>
    <row r="16" spans="1:16">
      <c r="A16" t="s">
        <v>85</v>
      </c>
      <c r="B16" s="26">
        <f>G56*H56</f>
        <v>2000</v>
      </c>
      <c r="C16" s="34">
        <v>2000</v>
      </c>
      <c r="D16" s="57">
        <v>2000</v>
      </c>
      <c r="E16" s="56">
        <v>2000</v>
      </c>
      <c r="F16" s="56">
        <v>2000</v>
      </c>
      <c r="G16" s="56">
        <v>2000</v>
      </c>
      <c r="H16" s="56">
        <v>2000</v>
      </c>
      <c r="I16" s="56">
        <v>2000</v>
      </c>
      <c r="J16" s="56">
        <v>2000</v>
      </c>
      <c r="K16" s="56">
        <v>2000</v>
      </c>
      <c r="L16" s="56">
        <v>2000</v>
      </c>
      <c r="M16" s="56">
        <v>2000</v>
      </c>
      <c r="N16" s="41">
        <f t="shared" si="11"/>
        <v>24000</v>
      </c>
    </row>
    <row r="17" spans="1:14">
      <c r="A17" t="s">
        <v>46</v>
      </c>
      <c r="B17" s="26">
        <f>G57*H57</f>
        <v>400</v>
      </c>
      <c r="C17" s="26">
        <f>G57*H57</f>
        <v>400</v>
      </c>
      <c r="D17" s="58">
        <f>G57*H57</f>
        <v>400</v>
      </c>
      <c r="E17" s="56">
        <v>400</v>
      </c>
      <c r="F17" s="56">
        <v>400</v>
      </c>
      <c r="G17" s="56">
        <v>400</v>
      </c>
      <c r="H17" s="56">
        <v>400</v>
      </c>
      <c r="I17" s="56">
        <v>400</v>
      </c>
      <c r="J17" s="56">
        <v>400</v>
      </c>
      <c r="K17" s="56">
        <v>400</v>
      </c>
      <c r="L17" s="56">
        <v>400</v>
      </c>
      <c r="M17" s="56">
        <v>400</v>
      </c>
      <c r="N17" s="41">
        <f t="shared" si="11"/>
        <v>4800</v>
      </c>
    </row>
    <row r="18" spans="1:14">
      <c r="A18" t="s">
        <v>86</v>
      </c>
      <c r="B18" s="26">
        <f>H58/G58</f>
        <v>100</v>
      </c>
      <c r="C18" s="34">
        <v>100</v>
      </c>
      <c r="D18" s="57">
        <v>100</v>
      </c>
      <c r="E18" s="56">
        <v>100</v>
      </c>
      <c r="F18" s="56">
        <v>100</v>
      </c>
      <c r="G18" s="56">
        <v>100</v>
      </c>
      <c r="H18" s="56">
        <v>100</v>
      </c>
      <c r="I18" s="56">
        <v>100</v>
      </c>
      <c r="J18" s="56">
        <v>100</v>
      </c>
      <c r="K18" s="56">
        <v>100</v>
      </c>
      <c r="L18" s="56">
        <v>100</v>
      </c>
      <c r="M18" s="56">
        <v>100</v>
      </c>
      <c r="N18" s="41">
        <f t="shared" si="11"/>
        <v>1200</v>
      </c>
    </row>
    <row r="19" spans="1:14">
      <c r="A19" t="s">
        <v>66</v>
      </c>
      <c r="B19" s="26">
        <v>100</v>
      </c>
      <c r="C19" s="34">
        <v>100</v>
      </c>
      <c r="D19" s="57">
        <v>110</v>
      </c>
      <c r="E19" s="56">
        <v>110</v>
      </c>
      <c r="F19" s="56">
        <v>120</v>
      </c>
      <c r="G19" s="56">
        <v>90</v>
      </c>
      <c r="H19" s="56">
        <v>113</v>
      </c>
      <c r="I19" s="56">
        <v>122</v>
      </c>
      <c r="J19" s="56">
        <v>125</v>
      </c>
      <c r="K19" s="56">
        <v>100</v>
      </c>
      <c r="L19" s="56">
        <v>130</v>
      </c>
      <c r="M19" s="56">
        <v>140</v>
      </c>
      <c r="N19" s="41">
        <f t="shared" si="11"/>
        <v>1360</v>
      </c>
    </row>
    <row r="20" spans="1:14">
      <c r="A20" t="s">
        <v>89</v>
      </c>
      <c r="B20" s="26">
        <v>24</v>
      </c>
      <c r="C20" s="34">
        <v>24</v>
      </c>
      <c r="D20" s="57">
        <v>24</v>
      </c>
      <c r="E20" s="56">
        <v>24</v>
      </c>
      <c r="F20" s="56">
        <v>24</v>
      </c>
      <c r="G20" s="56">
        <v>24</v>
      </c>
      <c r="H20" s="56">
        <v>24</v>
      </c>
      <c r="I20" s="56">
        <v>24</v>
      </c>
      <c r="J20" s="56">
        <v>24</v>
      </c>
      <c r="K20" s="56">
        <v>24</v>
      </c>
      <c r="L20" s="56">
        <v>24</v>
      </c>
      <c r="M20" s="56">
        <v>24</v>
      </c>
      <c r="N20" s="41">
        <f t="shared" si="11"/>
        <v>288</v>
      </c>
    </row>
    <row r="21" spans="1:14">
      <c r="A21" t="s">
        <v>94</v>
      </c>
      <c r="B21" s="26">
        <v>200</v>
      </c>
      <c r="C21" s="34">
        <v>150</v>
      </c>
      <c r="D21" s="57">
        <v>180</v>
      </c>
      <c r="E21" s="56">
        <v>190</v>
      </c>
      <c r="F21" s="56">
        <v>210</v>
      </c>
      <c r="G21" s="56">
        <v>250</v>
      </c>
      <c r="H21" s="56">
        <v>200</v>
      </c>
      <c r="I21" s="56">
        <v>220</v>
      </c>
      <c r="J21" s="56">
        <v>190</v>
      </c>
      <c r="K21" s="56">
        <v>230</v>
      </c>
      <c r="L21" s="56">
        <v>250</v>
      </c>
      <c r="M21" s="56">
        <v>280</v>
      </c>
      <c r="N21" s="41">
        <f t="shared" si="11"/>
        <v>2550</v>
      </c>
    </row>
    <row r="22" spans="1:14">
      <c r="A22" s="22" t="s">
        <v>25</v>
      </c>
      <c r="B22" s="27">
        <f>SUM(B15:B21)</f>
        <v>3724</v>
      </c>
      <c r="C22" s="27">
        <f>SUM(C15:C21)</f>
        <v>3674</v>
      </c>
      <c r="D22" s="27">
        <f>SUM(D15:D21)</f>
        <v>3714</v>
      </c>
      <c r="E22" s="27">
        <f>SUM(E15:E21)</f>
        <v>3724</v>
      </c>
      <c r="F22" s="27">
        <f t="shared" ref="F22:M22" si="13">SUM(F15:F21)</f>
        <v>3754</v>
      </c>
      <c r="G22" s="27">
        <f t="shared" si="13"/>
        <v>3764</v>
      </c>
      <c r="H22" s="27">
        <f t="shared" si="13"/>
        <v>3737</v>
      </c>
      <c r="I22" s="27">
        <f t="shared" si="13"/>
        <v>3766</v>
      </c>
      <c r="J22" s="27">
        <f t="shared" si="13"/>
        <v>3739</v>
      </c>
      <c r="K22" s="27">
        <f t="shared" si="13"/>
        <v>3754</v>
      </c>
      <c r="L22" s="27">
        <f t="shared" si="13"/>
        <v>3804</v>
      </c>
      <c r="M22" s="27">
        <f t="shared" si="13"/>
        <v>3844</v>
      </c>
      <c r="N22" s="41">
        <f t="shared" si="11"/>
        <v>44998</v>
      </c>
    </row>
    <row r="23" spans="1:14">
      <c r="A23" s="22"/>
      <c r="B23" s="27"/>
      <c r="N23" s="41"/>
    </row>
    <row r="24" spans="1:14">
      <c r="A24" s="22" t="s">
        <v>48</v>
      </c>
      <c r="B24" s="27">
        <f t="shared" ref="B24:M24" si="14">B12-B22</f>
        <v>293</v>
      </c>
      <c r="C24" s="27">
        <f t="shared" si="14"/>
        <v>744.69999999999982</v>
      </c>
      <c r="D24" s="27">
        <f t="shared" si="14"/>
        <v>1168.6634999999997</v>
      </c>
      <c r="E24" s="27">
        <f t="shared" si="14"/>
        <v>1681.1084944999993</v>
      </c>
      <c r="F24" s="27">
        <f t="shared" si="14"/>
        <v>2234.3197010565491</v>
      </c>
      <c r="G24" s="27">
        <f t="shared" si="14"/>
        <v>2044.6701100248529</v>
      </c>
      <c r="H24" s="27">
        <f t="shared" si="14"/>
        <v>1955.4967078243553</v>
      </c>
      <c r="I24" s="27">
        <f t="shared" si="14"/>
        <v>2438.8214115285473</v>
      </c>
      <c r="J24" s="27">
        <f t="shared" si="14"/>
        <v>3036.6649813891736</v>
      </c>
      <c r="K24" s="27">
        <f t="shared" si="14"/>
        <v>3646.516805972883</v>
      </c>
      <c r="L24" s="27">
        <f t="shared" si="14"/>
        <v>4247.7622848984965</v>
      </c>
      <c r="M24" s="27">
        <f t="shared" si="14"/>
        <v>4914.707013512585</v>
      </c>
      <c r="N24" s="41">
        <f t="shared" si="11"/>
        <v>28406.431010707442</v>
      </c>
    </row>
    <row r="25" spans="1:14">
      <c r="A25" s="19" t="s">
        <v>49</v>
      </c>
      <c r="B25" s="27">
        <f>F65/100*B24</f>
        <v>32.229999999999997</v>
      </c>
      <c r="C25" s="27">
        <f>F65/100*C24</f>
        <v>81.916999999999987</v>
      </c>
      <c r="D25" s="27">
        <f>F65/100*D24</f>
        <v>128.55298499999995</v>
      </c>
      <c r="E25" s="27">
        <f>F65/100*E24</f>
        <v>184.92193439499994</v>
      </c>
      <c r="F25" s="27">
        <f>F65/100*E24</f>
        <v>184.92193439499994</v>
      </c>
      <c r="G25" s="38">
        <f>F65/100*G24</f>
        <v>224.91371210273383</v>
      </c>
      <c r="H25" s="38">
        <f>F65/100*H24</f>
        <v>215.10463786067908</v>
      </c>
      <c r="I25" s="38">
        <f>F65/100*I24</f>
        <v>268.27035526814018</v>
      </c>
      <c r="J25" s="38">
        <f>F65/100*J24</f>
        <v>334.03314795280909</v>
      </c>
      <c r="K25" s="38">
        <f>F65/100*K24</f>
        <v>401.11684865701716</v>
      </c>
      <c r="L25" s="38">
        <f>F65/100*L24</f>
        <v>467.25385133883464</v>
      </c>
      <c r="M25" s="38">
        <f>F65/100*M24</f>
        <v>540.61777148638441</v>
      </c>
      <c r="N25" s="41">
        <f t="shared" si="11"/>
        <v>3063.8541784565978</v>
      </c>
    </row>
    <row r="26" spans="1:14">
      <c r="A26" s="22" t="s">
        <v>26</v>
      </c>
      <c r="B26" s="27">
        <f t="shared" ref="B26:M26" si="15">B24-B25</f>
        <v>260.77</v>
      </c>
      <c r="C26" s="27">
        <f t="shared" si="15"/>
        <v>662.78299999999979</v>
      </c>
      <c r="D26" s="27">
        <f t="shared" si="15"/>
        <v>1040.1105149999996</v>
      </c>
      <c r="E26" s="27">
        <f t="shared" si="15"/>
        <v>1496.1865601049994</v>
      </c>
      <c r="F26" s="27">
        <f t="shared" si="15"/>
        <v>2049.3977666615492</v>
      </c>
      <c r="G26" s="27">
        <f t="shared" si="15"/>
        <v>1819.756397922119</v>
      </c>
      <c r="H26" s="27">
        <f t="shared" si="15"/>
        <v>1740.3920699636762</v>
      </c>
      <c r="I26" s="27">
        <f t="shared" si="15"/>
        <v>2170.5510562604072</v>
      </c>
      <c r="J26" s="27">
        <f t="shared" si="15"/>
        <v>2702.6318334363646</v>
      </c>
      <c r="K26" s="27">
        <f t="shared" si="15"/>
        <v>3245.3999573158658</v>
      </c>
      <c r="L26" s="27">
        <f t="shared" si="15"/>
        <v>3780.5084335596621</v>
      </c>
      <c r="M26" s="27">
        <f t="shared" si="15"/>
        <v>4374.0892420262007</v>
      </c>
      <c r="N26" s="41">
        <f t="shared" si="11"/>
        <v>25342.576832250845</v>
      </c>
    </row>
    <row r="27" spans="1:14">
      <c r="A27" s="19"/>
      <c r="B27" s="27"/>
      <c r="N27" s="41"/>
    </row>
    <row r="28" spans="1:14">
      <c r="A28" s="18" t="s">
        <v>65</v>
      </c>
      <c r="B28" s="27">
        <f t="shared" ref="B28:M28" si="16">B26/B8*100</f>
        <v>4.2195792880258898</v>
      </c>
      <c r="C28" s="27">
        <f t="shared" si="16"/>
        <v>9.7496763754045279</v>
      </c>
      <c r="D28" s="27">
        <f t="shared" si="16"/>
        <v>13.846373700542742</v>
      </c>
      <c r="E28" s="27">
        <f t="shared" si="16"/>
        <v>17.992631693847482</v>
      </c>
      <c r="F28" s="27">
        <f t="shared" si="16"/>
        <v>22.245114069226734</v>
      </c>
      <c r="G28" s="27">
        <f t="shared" si="16"/>
        <v>20.363381570042655</v>
      </c>
      <c r="H28" s="27">
        <f t="shared" si="16"/>
        <v>19.87273605132658</v>
      </c>
      <c r="I28" s="27">
        <f t="shared" si="16"/>
        <v>22.738094990903239</v>
      </c>
      <c r="J28" s="27">
        <f t="shared" si="16"/>
        <v>25.926764333225176</v>
      </c>
      <c r="K28" s="27">
        <f t="shared" si="16"/>
        <v>28.504900773318266</v>
      </c>
      <c r="L28" s="27">
        <f t="shared" si="16"/>
        <v>30.519163319347275</v>
      </c>
      <c r="M28" s="27">
        <f t="shared" si="16"/>
        <v>32.46093290859848</v>
      </c>
      <c r="N28" s="41">
        <f t="shared" si="11"/>
        <v>248.43934907380907</v>
      </c>
    </row>
    <row r="29" spans="1:14">
      <c r="A29" s="19"/>
      <c r="B29" s="19"/>
    </row>
    <row r="30" spans="1:14">
      <c r="A30" s="19"/>
      <c r="B30" s="19"/>
    </row>
    <row r="31" spans="1:14">
      <c r="A31" s="19"/>
      <c r="B31" s="19"/>
    </row>
    <row r="32" spans="1:14">
      <c r="A32" s="19"/>
      <c r="B32" s="19"/>
      <c r="F32" s="44" t="s">
        <v>104</v>
      </c>
      <c r="G32" s="45"/>
    </row>
    <row r="39" spans="2:11" ht="18">
      <c r="B39" s="39"/>
      <c r="C39" s="39"/>
      <c r="F39" s="70" t="s">
        <v>68</v>
      </c>
      <c r="G39" s="45"/>
      <c r="H39" s="45"/>
      <c r="I39" s="45"/>
      <c r="J39" s="45"/>
      <c r="K39" s="45"/>
    </row>
    <row r="41" spans="2:11" ht="62.4">
      <c r="F41" s="30" t="s">
        <v>69</v>
      </c>
      <c r="G41" s="30" t="s">
        <v>70</v>
      </c>
      <c r="H41" s="30" t="s">
        <v>71</v>
      </c>
      <c r="I41" s="30" t="s">
        <v>72</v>
      </c>
      <c r="J41" s="30" t="s">
        <v>73</v>
      </c>
    </row>
    <row r="42" spans="2:11">
      <c r="F42" s="32" t="s">
        <v>74</v>
      </c>
      <c r="G42" s="31">
        <v>7</v>
      </c>
      <c r="H42" s="31">
        <v>24</v>
      </c>
      <c r="I42" s="33">
        <v>15</v>
      </c>
      <c r="J42" s="33">
        <v>2520</v>
      </c>
    </row>
    <row r="43" spans="2:11" ht="31.2">
      <c r="F43" s="32" t="s">
        <v>75</v>
      </c>
      <c r="G43" s="31">
        <v>5</v>
      </c>
      <c r="H43" s="31">
        <v>24</v>
      </c>
      <c r="I43" s="33">
        <v>10</v>
      </c>
      <c r="J43" s="33">
        <v>1200</v>
      </c>
    </row>
    <row r="44" spans="2:11" ht="31.2">
      <c r="F44" s="32" t="s">
        <v>63</v>
      </c>
      <c r="G44" s="31">
        <v>1</v>
      </c>
      <c r="H44" s="31" t="s">
        <v>76</v>
      </c>
      <c r="I44" s="33">
        <v>1500</v>
      </c>
      <c r="J44" s="33">
        <v>1500</v>
      </c>
    </row>
    <row r="45" spans="2:11">
      <c r="F45" s="22" t="s">
        <v>96</v>
      </c>
      <c r="G45" s="31">
        <v>10</v>
      </c>
      <c r="H45">
        <v>24</v>
      </c>
      <c r="I45" s="33">
        <v>4</v>
      </c>
      <c r="J45" s="33">
        <v>960</v>
      </c>
    </row>
    <row r="46" spans="2:11">
      <c r="F46" t="s">
        <v>112</v>
      </c>
      <c r="J46" s="33">
        <v>6180</v>
      </c>
    </row>
    <row r="49" spans="6:10" ht="18">
      <c r="F49" s="29" t="s">
        <v>97</v>
      </c>
    </row>
    <row r="50" spans="6:10">
      <c r="F50" s="1">
        <v>35</v>
      </c>
    </row>
    <row r="51" spans="6:10">
      <c r="F51" s="32"/>
      <c r="G51" s="31"/>
      <c r="H51" s="31"/>
      <c r="I51" s="33"/>
      <c r="J51" s="33"/>
    </row>
    <row r="52" spans="6:10" ht="18">
      <c r="F52" s="29" t="s">
        <v>77</v>
      </c>
    </row>
    <row r="54" spans="6:10" ht="46.8">
      <c r="F54" s="30" t="s">
        <v>78</v>
      </c>
      <c r="G54" s="30" t="s">
        <v>79</v>
      </c>
      <c r="H54" s="30" t="s">
        <v>80</v>
      </c>
      <c r="I54" s="30" t="s">
        <v>81</v>
      </c>
    </row>
    <row r="55" spans="6:10" ht="93.6">
      <c r="F55" s="32" t="s">
        <v>82</v>
      </c>
      <c r="G55" s="31" t="s">
        <v>83</v>
      </c>
      <c r="H55" s="31" t="s">
        <v>84</v>
      </c>
      <c r="I55" s="33">
        <v>900</v>
      </c>
    </row>
    <row r="56" spans="6:10" ht="109.2">
      <c r="F56" s="32" t="s">
        <v>101</v>
      </c>
      <c r="G56" s="31">
        <v>2</v>
      </c>
      <c r="H56" s="33">
        <v>1000</v>
      </c>
      <c r="I56" s="33">
        <v>2000</v>
      </c>
    </row>
    <row r="57" spans="6:10" ht="109.2">
      <c r="F57" s="32" t="s">
        <v>99</v>
      </c>
      <c r="G57" s="31">
        <v>4</v>
      </c>
      <c r="H57" s="33">
        <v>100</v>
      </c>
      <c r="I57" s="33">
        <v>400</v>
      </c>
    </row>
    <row r="58" spans="6:10" ht="124.8">
      <c r="F58" s="32" t="s">
        <v>95</v>
      </c>
      <c r="G58" s="31">
        <v>12</v>
      </c>
      <c r="H58" s="33">
        <v>1200</v>
      </c>
      <c r="I58" s="33">
        <v>100</v>
      </c>
    </row>
    <row r="59" spans="6:10" ht="78">
      <c r="F59" s="32" t="s">
        <v>66</v>
      </c>
      <c r="G59" s="31" t="s">
        <v>87</v>
      </c>
      <c r="H59" s="31" t="s">
        <v>88</v>
      </c>
      <c r="I59" s="33">
        <v>100</v>
      </c>
    </row>
    <row r="60" spans="6:10" ht="140.4">
      <c r="F60" s="32" t="s">
        <v>89</v>
      </c>
      <c r="G60" s="31" t="s">
        <v>100</v>
      </c>
      <c r="H60" s="31" t="s">
        <v>90</v>
      </c>
      <c r="I60" s="33">
        <v>24</v>
      </c>
    </row>
    <row r="61" spans="6:10" ht="62.4">
      <c r="F61" s="32" t="s">
        <v>47</v>
      </c>
      <c r="G61" s="31" t="s">
        <v>91</v>
      </c>
      <c r="H61" s="31" t="s">
        <v>92</v>
      </c>
      <c r="I61" s="33">
        <v>200</v>
      </c>
    </row>
    <row r="62" spans="6:10" ht="46.8">
      <c r="F62" s="32" t="s">
        <v>93</v>
      </c>
      <c r="G62" s="31" t="s">
        <v>76</v>
      </c>
      <c r="H62" s="31" t="s">
        <v>76</v>
      </c>
      <c r="I62" s="36">
        <f>SUM(I55:I61)</f>
        <v>3724</v>
      </c>
    </row>
    <row r="64" spans="6:10" ht="46.8">
      <c r="F64" s="32" t="s">
        <v>102</v>
      </c>
    </row>
    <row r="65" spans="6:6">
      <c r="F65" s="1">
        <v>11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63A53-A6F0-3C46-8002-E2243A3B1E54}">
  <dimension ref="A1:N59"/>
  <sheetViews>
    <sheetView topLeftCell="A25" workbookViewId="0">
      <selection activeCell="I49" sqref="I49"/>
    </sheetView>
  </sheetViews>
  <sheetFormatPr defaultColWidth="11.19921875" defaultRowHeight="15.6"/>
  <cols>
    <col min="1" max="1" width="45.8984375" customWidth="1"/>
    <col min="14" max="14" width="12" bestFit="1" customWidth="1"/>
  </cols>
  <sheetData>
    <row r="1" spans="1:14">
      <c r="A1" t="s">
        <v>1</v>
      </c>
    </row>
    <row r="2" spans="1:14">
      <c r="B2" t="s">
        <v>67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</row>
    <row r="3" spans="1:14">
      <c r="A3" s="1"/>
    </row>
    <row r="4" spans="1:14">
      <c r="A4" s="22" t="s">
        <v>6</v>
      </c>
      <c r="B4" s="19"/>
      <c r="C4" s="35">
        <v>0.1</v>
      </c>
      <c r="D4" s="37">
        <v>0.10199999999999999</v>
      </c>
      <c r="E4" s="37">
        <v>0.10290000000000001</v>
      </c>
      <c r="F4" s="37">
        <v>9.9000000000000005E-2</v>
      </c>
      <c r="G4" s="37">
        <v>9.8199999999999996E-2</v>
      </c>
      <c r="H4" s="37">
        <v>9.7600000000000006E-2</v>
      </c>
      <c r="I4" s="37">
        <v>-2.5000000000000001E-2</v>
      </c>
      <c r="J4" s="37">
        <v>-3.5000000000000003E-2</v>
      </c>
      <c r="K4" s="35">
        <v>0.08</v>
      </c>
      <c r="L4" s="37">
        <v>8.6999999999999994E-2</v>
      </c>
      <c r="M4" s="35">
        <v>-9.8000000000000004E-2</v>
      </c>
    </row>
    <row r="5" spans="1:14">
      <c r="A5" s="31" t="s">
        <v>74</v>
      </c>
      <c r="B5" s="27">
        <f>G36*H36*I36</f>
        <v>6500</v>
      </c>
      <c r="C5" s="34">
        <f>B5+(B5*0.1)</f>
        <v>7150</v>
      </c>
      <c r="D5" s="38">
        <f>C5+(C5*0.102)</f>
        <v>7879.3</v>
      </c>
      <c r="E5" s="38">
        <f>D5+(D5*0.1029)</f>
        <v>8690.0799700000007</v>
      </c>
      <c r="F5" s="38">
        <f>E5+(E5*0.099)</f>
        <v>9550.3978870300016</v>
      </c>
      <c r="G5" s="38">
        <f>F5+(F5*0.0982)</f>
        <v>10488.246959536347</v>
      </c>
      <c r="H5" s="38">
        <f>G5+(G5*0.0976)</f>
        <v>11511.899862787095</v>
      </c>
      <c r="I5" s="38">
        <f>H5*(1-0.025)</f>
        <v>11224.102366217418</v>
      </c>
      <c r="J5" s="38">
        <f>I5*(1-0.03)</f>
        <v>10887.379295230894</v>
      </c>
      <c r="K5" s="38">
        <f>J5+(J5*0.088)</f>
        <v>11845.468673211213</v>
      </c>
      <c r="L5" s="38">
        <f>K5+(K5*0.087)</f>
        <v>12876.024447780588</v>
      </c>
      <c r="M5" s="38">
        <f>L5*(1-0.1)</f>
        <v>11588.42200300253</v>
      </c>
      <c r="N5" s="41">
        <f>SUM(B5:M5)</f>
        <v>120191.3214647961</v>
      </c>
    </row>
    <row r="6" spans="1:14">
      <c r="A6" s="19" t="s">
        <v>105</v>
      </c>
      <c r="B6" s="27">
        <f>G37*H37*I37</f>
        <v>3120</v>
      </c>
      <c r="C6" s="34">
        <f t="shared" ref="C6:C11" si="0">B6+(B6*0.1)</f>
        <v>3432</v>
      </c>
      <c r="D6" s="38">
        <f t="shared" ref="D6:D13" si="1">C6+(C6*0.102)</f>
        <v>3782.0639999999999</v>
      </c>
      <c r="E6" s="38">
        <f t="shared" ref="E6:E13" si="2">D6+(D6*0.1029)</f>
        <v>4171.2383855999997</v>
      </c>
      <c r="F6" s="38">
        <f t="shared" ref="F6:F13" si="3">E6+(E6*0.099)</f>
        <v>4584.1909857743995</v>
      </c>
      <c r="G6" s="38">
        <f t="shared" ref="G6:G13" si="4">F6+(F6*0.0982)</f>
        <v>5034.3585405774456</v>
      </c>
      <c r="H6" s="38">
        <f t="shared" ref="H6:H13" si="5">G6+(G6*0.0976)</f>
        <v>5525.7119341378047</v>
      </c>
      <c r="I6" s="38">
        <f t="shared" ref="I6:I13" si="6">H6*(1-0.025)</f>
        <v>5387.5691357843598</v>
      </c>
      <c r="J6" s="38">
        <f t="shared" ref="J6:J13" si="7">I6*(1-0.03)</f>
        <v>5225.942061710829</v>
      </c>
      <c r="K6" s="38">
        <f t="shared" ref="K6:K13" si="8">J6+(J6*0.088)</f>
        <v>5685.8249631413819</v>
      </c>
      <c r="L6" s="38">
        <f t="shared" ref="L6:L13" si="9">K6+(K6*0.087)</f>
        <v>6180.4917349346824</v>
      </c>
      <c r="M6" s="38">
        <f t="shared" ref="M6:M13" si="10">L6*(1-0.1)</f>
        <v>5562.4425614412139</v>
      </c>
      <c r="N6" s="41">
        <f t="shared" ref="N6:N31" si="11">SUM(B6:M6)</f>
        <v>57691.834303102121</v>
      </c>
    </row>
    <row r="7" spans="1:14">
      <c r="A7" s="31" t="s">
        <v>63</v>
      </c>
      <c r="B7" s="27">
        <f>G38*I38</f>
        <v>3280</v>
      </c>
      <c r="C7" s="34">
        <f t="shared" si="0"/>
        <v>3608</v>
      </c>
      <c r="D7" s="38">
        <f t="shared" si="1"/>
        <v>3976.0160000000001</v>
      </c>
      <c r="E7" s="38">
        <f t="shared" si="2"/>
        <v>4385.1480463999997</v>
      </c>
      <c r="F7" s="38">
        <f t="shared" si="3"/>
        <v>4819.2777029935996</v>
      </c>
      <c r="G7" s="38">
        <f t="shared" si="4"/>
        <v>5292.5307734275711</v>
      </c>
      <c r="H7" s="38">
        <f t="shared" si="5"/>
        <v>5809.0817769141022</v>
      </c>
      <c r="I7" s="38">
        <f t="shared" si="6"/>
        <v>5663.8547324912497</v>
      </c>
      <c r="J7" s="38">
        <f t="shared" si="7"/>
        <v>5493.9390905165119</v>
      </c>
      <c r="K7" s="38">
        <f t="shared" si="8"/>
        <v>5977.4057304819653</v>
      </c>
      <c r="L7" s="38">
        <f t="shared" si="9"/>
        <v>6497.4400290338963</v>
      </c>
      <c r="M7" s="38">
        <f t="shared" si="10"/>
        <v>5847.6960261305067</v>
      </c>
      <c r="N7" s="41">
        <f t="shared" si="11"/>
        <v>60650.389908389399</v>
      </c>
    </row>
    <row r="8" spans="1:14">
      <c r="A8" s="19" t="s">
        <v>96</v>
      </c>
      <c r="B8" s="27">
        <f>G39*H39*I39</f>
        <v>2808</v>
      </c>
      <c r="C8" s="34">
        <f t="shared" si="0"/>
        <v>3088.8</v>
      </c>
      <c r="D8" s="38">
        <f t="shared" si="1"/>
        <v>3403.8576000000003</v>
      </c>
      <c r="E8" s="38">
        <f t="shared" si="2"/>
        <v>3754.1145470400002</v>
      </c>
      <c r="F8" s="38">
        <f t="shared" si="3"/>
        <v>4125.7718871969601</v>
      </c>
      <c r="G8" s="38">
        <f t="shared" si="4"/>
        <v>4530.9226865197015</v>
      </c>
      <c r="H8" s="38">
        <f t="shared" si="5"/>
        <v>4973.140740724024</v>
      </c>
      <c r="I8" s="38">
        <f t="shared" si="6"/>
        <v>4848.8122222059237</v>
      </c>
      <c r="J8" s="38">
        <f t="shared" si="7"/>
        <v>4703.347855539746</v>
      </c>
      <c r="K8" s="38">
        <f t="shared" si="8"/>
        <v>5117.2424668272433</v>
      </c>
      <c r="L8" s="38">
        <f t="shared" si="9"/>
        <v>5562.4425614412139</v>
      </c>
      <c r="M8" s="38">
        <f t="shared" si="10"/>
        <v>5006.1983052970927</v>
      </c>
      <c r="N8" s="41">
        <f t="shared" si="11"/>
        <v>51922.650872791899</v>
      </c>
    </row>
    <row r="9" spans="1:14">
      <c r="A9" s="22" t="s">
        <v>64</v>
      </c>
      <c r="B9" s="27">
        <f>SUM(B5:B8)</f>
        <v>15708</v>
      </c>
      <c r="C9" s="34">
        <f t="shared" si="0"/>
        <v>17278.8</v>
      </c>
      <c r="D9" s="38">
        <f t="shared" si="1"/>
        <v>19041.2376</v>
      </c>
      <c r="E9" s="38">
        <f t="shared" si="2"/>
        <v>21000.580949039999</v>
      </c>
      <c r="F9" s="38">
        <f t="shared" si="3"/>
        <v>23079.638462994961</v>
      </c>
      <c r="G9" s="38">
        <f t="shared" si="4"/>
        <v>25346.058960061066</v>
      </c>
      <c r="H9" s="38">
        <f t="shared" si="5"/>
        <v>27819.834314563024</v>
      </c>
      <c r="I9" s="38">
        <f t="shared" si="6"/>
        <v>27124.338456698948</v>
      </c>
      <c r="J9" s="38">
        <f t="shared" si="7"/>
        <v>26310.608302997978</v>
      </c>
      <c r="K9" s="38">
        <f t="shared" si="8"/>
        <v>28625.9418336618</v>
      </c>
      <c r="L9" s="38">
        <f t="shared" si="9"/>
        <v>31116.398773190376</v>
      </c>
      <c r="M9" s="38">
        <f t="shared" si="10"/>
        <v>28004.758895871339</v>
      </c>
      <c r="N9" s="41">
        <f t="shared" si="11"/>
        <v>290456.1965490795</v>
      </c>
    </row>
    <row r="10" spans="1:14">
      <c r="A10" s="22"/>
      <c r="B10" s="19"/>
      <c r="C10" s="34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41"/>
    </row>
    <row r="11" spans="1:14">
      <c r="A11" s="21" t="s">
        <v>98</v>
      </c>
      <c r="B11" s="28">
        <f>F44/100*B9</f>
        <v>5497.7999999999993</v>
      </c>
      <c r="C11" s="34">
        <f t="shared" si="0"/>
        <v>6047.579999999999</v>
      </c>
      <c r="D11" s="38">
        <f t="shared" si="1"/>
        <v>6664.4331599999987</v>
      </c>
      <c r="E11" s="38">
        <f t="shared" si="2"/>
        <v>7350.2033321639983</v>
      </c>
      <c r="F11" s="38">
        <f t="shared" si="3"/>
        <v>8077.8734620482337</v>
      </c>
      <c r="G11" s="38">
        <f t="shared" si="4"/>
        <v>8871.120636021371</v>
      </c>
      <c r="H11" s="38">
        <f t="shared" si="5"/>
        <v>9736.9420100970565</v>
      </c>
      <c r="I11" s="38">
        <f t="shared" si="6"/>
        <v>9493.5184598446303</v>
      </c>
      <c r="J11" s="38">
        <f t="shared" si="7"/>
        <v>9208.7129060492916</v>
      </c>
      <c r="K11" s="38">
        <f t="shared" si="8"/>
        <v>10019.079641781629</v>
      </c>
      <c r="L11" s="38">
        <f t="shared" si="9"/>
        <v>10890.739570616632</v>
      </c>
      <c r="M11" s="38">
        <f t="shared" si="10"/>
        <v>9801.6656135549692</v>
      </c>
      <c r="N11" s="41">
        <f t="shared" si="11"/>
        <v>101659.66879217781</v>
      </c>
    </row>
    <row r="12" spans="1:14">
      <c r="A12" s="19"/>
      <c r="B12" s="1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41"/>
    </row>
    <row r="13" spans="1:14">
      <c r="A13" s="22" t="s">
        <v>44</v>
      </c>
      <c r="B13" s="26">
        <f>B9-B11</f>
        <v>10210.200000000001</v>
      </c>
      <c r="C13" s="26">
        <f>C9-C11</f>
        <v>11231.220000000001</v>
      </c>
      <c r="D13" s="38">
        <f t="shared" si="1"/>
        <v>12376.804440000002</v>
      </c>
      <c r="E13" s="38">
        <f t="shared" si="2"/>
        <v>13650.377616876001</v>
      </c>
      <c r="F13" s="38">
        <f t="shared" si="3"/>
        <v>15001.765000946725</v>
      </c>
      <c r="G13" s="38">
        <f t="shared" si="4"/>
        <v>16474.938324039693</v>
      </c>
      <c r="H13" s="38">
        <f t="shared" si="5"/>
        <v>18082.892304465968</v>
      </c>
      <c r="I13" s="38">
        <f t="shared" si="6"/>
        <v>17630.819996854319</v>
      </c>
      <c r="J13" s="38">
        <f t="shared" si="7"/>
        <v>17101.89539694869</v>
      </c>
      <c r="K13" s="38">
        <f t="shared" si="8"/>
        <v>18606.862191880176</v>
      </c>
      <c r="L13" s="38">
        <f t="shared" si="9"/>
        <v>20225.659202573752</v>
      </c>
      <c r="M13" s="38">
        <f t="shared" si="10"/>
        <v>18203.093282316378</v>
      </c>
      <c r="N13" s="41">
        <f t="shared" si="11"/>
        <v>188796.52775690172</v>
      </c>
    </row>
    <row r="14" spans="1:14" ht="15" customHeight="1">
      <c r="A14" s="22"/>
      <c r="B14" s="19"/>
      <c r="C14" s="1"/>
      <c r="N14" s="41"/>
    </row>
    <row r="15" spans="1:14" ht="15" customHeight="1">
      <c r="A15" s="22" t="s">
        <v>45</v>
      </c>
      <c r="B15" s="19"/>
      <c r="N15" s="41"/>
    </row>
    <row r="16" spans="1:14">
      <c r="A16" t="s">
        <v>82</v>
      </c>
      <c r="B16" s="27">
        <v>1400</v>
      </c>
      <c r="C16" s="27">
        <v>1400</v>
      </c>
      <c r="D16" s="27">
        <v>1400</v>
      </c>
      <c r="E16" s="27">
        <v>1400</v>
      </c>
      <c r="F16" s="27">
        <v>1400</v>
      </c>
      <c r="G16" s="27">
        <v>1400</v>
      </c>
      <c r="H16" s="27">
        <v>1400</v>
      </c>
      <c r="I16" s="27">
        <v>1400</v>
      </c>
      <c r="J16" s="27">
        <v>1400</v>
      </c>
      <c r="K16" s="27">
        <v>1400</v>
      </c>
      <c r="L16" s="27">
        <v>1400</v>
      </c>
      <c r="M16" s="27">
        <v>1400</v>
      </c>
      <c r="N16" s="41">
        <f t="shared" si="11"/>
        <v>16800</v>
      </c>
    </row>
    <row r="17" spans="1:14">
      <c r="A17" t="s">
        <v>85</v>
      </c>
      <c r="B17" s="27">
        <f>G50*H50</f>
        <v>2600</v>
      </c>
      <c r="C17" s="27">
        <v>2600</v>
      </c>
      <c r="D17" s="27">
        <v>2600</v>
      </c>
      <c r="E17" s="27">
        <v>2600</v>
      </c>
      <c r="F17" s="27">
        <v>2600</v>
      </c>
      <c r="G17" s="27">
        <v>2600</v>
      </c>
      <c r="H17" s="27">
        <v>2600</v>
      </c>
      <c r="I17" s="27">
        <v>2600</v>
      </c>
      <c r="J17" s="27">
        <v>2600</v>
      </c>
      <c r="K17" s="27">
        <v>2600</v>
      </c>
      <c r="L17" s="27">
        <v>2600</v>
      </c>
      <c r="M17" s="27">
        <v>2600</v>
      </c>
      <c r="N17" s="41">
        <f t="shared" si="11"/>
        <v>31200</v>
      </c>
    </row>
    <row r="18" spans="1:14">
      <c r="A18" t="s">
        <v>46</v>
      </c>
      <c r="B18" s="27">
        <f>G51*H51</f>
        <v>400</v>
      </c>
      <c r="C18" s="27">
        <v>400</v>
      </c>
      <c r="D18" s="27">
        <v>400</v>
      </c>
      <c r="E18" s="27">
        <v>400</v>
      </c>
      <c r="F18" s="27">
        <v>400</v>
      </c>
      <c r="G18" s="27">
        <v>400</v>
      </c>
      <c r="H18" s="27">
        <v>400</v>
      </c>
      <c r="I18" s="27">
        <v>400</v>
      </c>
      <c r="J18" s="27">
        <v>400</v>
      </c>
      <c r="K18" s="27">
        <v>400</v>
      </c>
      <c r="L18" s="27">
        <v>400</v>
      </c>
      <c r="M18" s="27">
        <v>400</v>
      </c>
      <c r="N18" s="41">
        <f t="shared" si="11"/>
        <v>4800</v>
      </c>
    </row>
    <row r="19" spans="1:14">
      <c r="A19" t="s">
        <v>86</v>
      </c>
      <c r="B19" s="27">
        <f>H52/G52</f>
        <v>100</v>
      </c>
      <c r="C19" s="27">
        <v>100</v>
      </c>
      <c r="D19" s="27">
        <v>100</v>
      </c>
      <c r="E19" s="27">
        <v>100</v>
      </c>
      <c r="F19" s="27">
        <v>100</v>
      </c>
      <c r="G19" s="27">
        <v>100</v>
      </c>
      <c r="H19" s="27">
        <v>100</v>
      </c>
      <c r="I19" s="27">
        <v>100</v>
      </c>
      <c r="J19" s="27">
        <v>100</v>
      </c>
      <c r="K19" s="27">
        <v>100</v>
      </c>
      <c r="L19" s="27">
        <v>100</v>
      </c>
      <c r="M19" s="27">
        <v>100</v>
      </c>
      <c r="N19" s="41">
        <f t="shared" si="11"/>
        <v>1200</v>
      </c>
    </row>
    <row r="20" spans="1:14">
      <c r="A20" t="s">
        <v>66</v>
      </c>
      <c r="B20" s="27">
        <v>400</v>
      </c>
      <c r="C20" s="27">
        <v>420</v>
      </c>
      <c r="D20" s="27">
        <v>410</v>
      </c>
      <c r="E20" s="27">
        <v>380</v>
      </c>
      <c r="F20" s="27">
        <v>450</v>
      </c>
      <c r="G20" s="27">
        <v>422</v>
      </c>
      <c r="H20" s="27">
        <v>396</v>
      </c>
      <c r="I20" s="27">
        <v>400</v>
      </c>
      <c r="J20" s="27">
        <v>430</v>
      </c>
      <c r="K20" s="27">
        <v>370</v>
      </c>
      <c r="L20" s="27">
        <v>437</v>
      </c>
      <c r="M20" s="27">
        <v>402</v>
      </c>
      <c r="N20" s="41">
        <f t="shared" si="11"/>
        <v>4917</v>
      </c>
    </row>
    <row r="21" spans="1:14">
      <c r="A21" t="s">
        <v>89</v>
      </c>
      <c r="B21" s="27">
        <v>24</v>
      </c>
      <c r="C21" s="27">
        <v>24</v>
      </c>
      <c r="D21" s="27">
        <v>24</v>
      </c>
      <c r="E21" s="27">
        <v>24</v>
      </c>
      <c r="F21" s="27">
        <v>24</v>
      </c>
      <c r="G21" s="27">
        <v>24</v>
      </c>
      <c r="H21" s="27">
        <v>24</v>
      </c>
      <c r="I21" s="27">
        <v>24</v>
      </c>
      <c r="J21" s="27">
        <v>24</v>
      </c>
      <c r="K21" s="27">
        <v>24</v>
      </c>
      <c r="L21" s="27">
        <v>24</v>
      </c>
      <c r="M21" s="27">
        <v>24</v>
      </c>
      <c r="N21" s="41">
        <f t="shared" si="11"/>
        <v>288</v>
      </c>
    </row>
    <row r="22" spans="1:14">
      <c r="A22" t="s">
        <v>94</v>
      </c>
      <c r="B22" s="27">
        <v>300</v>
      </c>
      <c r="C22" s="27">
        <v>300</v>
      </c>
      <c r="D22" s="27">
        <v>319</v>
      </c>
      <c r="E22" s="27">
        <v>350</v>
      </c>
      <c r="F22" s="27">
        <v>370</v>
      </c>
      <c r="G22" s="27">
        <v>376</v>
      </c>
      <c r="H22" s="27">
        <v>320</v>
      </c>
      <c r="I22" s="27">
        <v>315</v>
      </c>
      <c r="J22" s="27">
        <v>335</v>
      </c>
      <c r="K22" s="27">
        <v>340</v>
      </c>
      <c r="L22" s="27">
        <v>320</v>
      </c>
      <c r="M22" s="27">
        <v>333</v>
      </c>
      <c r="N22" s="41">
        <f t="shared" si="11"/>
        <v>3978</v>
      </c>
    </row>
    <row r="23" spans="1:14">
      <c r="A23" s="22" t="s">
        <v>25</v>
      </c>
      <c r="B23" s="27">
        <f>SUM(B16:B22)</f>
        <v>5224</v>
      </c>
      <c r="C23" s="27">
        <f>SUM(C16:C22)</f>
        <v>5244</v>
      </c>
      <c r="D23" s="27">
        <f>SUM(D16:D22)</f>
        <v>5253</v>
      </c>
      <c r="E23" s="27">
        <f>SUM(E16:E22)</f>
        <v>5254</v>
      </c>
      <c r="F23" s="27">
        <f>SUM(F16:F22)</f>
        <v>5344</v>
      </c>
      <c r="G23" s="27">
        <f t="shared" ref="G23:M23" si="12">SUM(G16:G22)</f>
        <v>5322</v>
      </c>
      <c r="H23" s="27">
        <f t="shared" si="12"/>
        <v>5240</v>
      </c>
      <c r="I23" s="27">
        <f t="shared" si="12"/>
        <v>5239</v>
      </c>
      <c r="J23" s="27">
        <f t="shared" si="12"/>
        <v>5289</v>
      </c>
      <c r="K23" s="27">
        <f t="shared" si="12"/>
        <v>5234</v>
      </c>
      <c r="L23" s="27">
        <f t="shared" si="12"/>
        <v>5281</v>
      </c>
      <c r="M23" s="27">
        <f t="shared" si="12"/>
        <v>5259</v>
      </c>
      <c r="N23" s="41">
        <f t="shared" si="11"/>
        <v>63183</v>
      </c>
    </row>
    <row r="24" spans="1:14">
      <c r="A24" s="19"/>
      <c r="B24" s="19"/>
      <c r="N24" s="41"/>
    </row>
    <row r="25" spans="1:14">
      <c r="B25" s="27"/>
      <c r="N25" s="41"/>
    </row>
    <row r="26" spans="1:14">
      <c r="A26" s="19"/>
      <c r="B26" s="19"/>
      <c r="N26" s="41"/>
    </row>
    <row r="27" spans="1:14">
      <c r="A27" s="22" t="s">
        <v>48</v>
      </c>
      <c r="B27" s="26">
        <f t="shared" ref="B27:M27" si="13">B13-B23</f>
        <v>4986.2000000000007</v>
      </c>
      <c r="C27" s="26">
        <f t="shared" si="13"/>
        <v>5987.2200000000012</v>
      </c>
      <c r="D27" s="26">
        <f t="shared" si="13"/>
        <v>7123.8044400000017</v>
      </c>
      <c r="E27" s="26">
        <f t="shared" si="13"/>
        <v>8396.3776168760014</v>
      </c>
      <c r="F27" s="26">
        <f t="shared" si="13"/>
        <v>9657.7650009467252</v>
      </c>
      <c r="G27" s="26">
        <f t="shared" si="13"/>
        <v>11152.938324039693</v>
      </c>
      <c r="H27" s="26">
        <f t="shared" si="13"/>
        <v>12842.892304465968</v>
      </c>
      <c r="I27" s="26">
        <f t="shared" si="13"/>
        <v>12391.819996854319</v>
      </c>
      <c r="J27" s="26">
        <f t="shared" si="13"/>
        <v>11812.89539694869</v>
      </c>
      <c r="K27" s="26">
        <f t="shared" si="13"/>
        <v>13372.862191880176</v>
      </c>
      <c r="L27" s="26">
        <f t="shared" si="13"/>
        <v>14944.659202573752</v>
      </c>
      <c r="M27" s="26">
        <f t="shared" si="13"/>
        <v>12944.093282316378</v>
      </c>
      <c r="N27" s="41">
        <f t="shared" si="11"/>
        <v>125613.52775690171</v>
      </c>
    </row>
    <row r="28" spans="1:14">
      <c r="A28" s="19" t="s">
        <v>49</v>
      </c>
      <c r="B28" s="26">
        <f>F59/100*B27</f>
        <v>548.48200000000008</v>
      </c>
      <c r="C28" s="26">
        <f>F59/100*C27</f>
        <v>658.59420000000011</v>
      </c>
      <c r="D28" s="38">
        <f>F59/100*D27</f>
        <v>783.61848840000016</v>
      </c>
      <c r="E28" s="38">
        <f>F59/100*E27</f>
        <v>923.60153785636021</v>
      </c>
      <c r="F28" s="38">
        <f>F59/100*F27</f>
        <v>1062.3541501041398</v>
      </c>
      <c r="G28" s="38">
        <f>F59/100*G27</f>
        <v>1226.8232156443662</v>
      </c>
      <c r="H28" s="38">
        <f>F59/100*H27</f>
        <v>1412.7181534912565</v>
      </c>
      <c r="I28" s="38">
        <f>F59/100*I27</f>
        <v>1363.1001996539751</v>
      </c>
      <c r="J28" s="38">
        <f>F59/100*J27</f>
        <v>1299.418493664356</v>
      </c>
      <c r="K28" s="38">
        <f>F59/100*K27</f>
        <v>1471.0148411068194</v>
      </c>
      <c r="L28" s="38">
        <f>F59/100*L27</f>
        <v>1643.9125122831126</v>
      </c>
      <c r="M28" s="38">
        <f>F59/100*M27</f>
        <v>1423.8502610548016</v>
      </c>
      <c r="N28" s="41">
        <f t="shared" si="11"/>
        <v>13817.488053259187</v>
      </c>
    </row>
    <row r="29" spans="1:14">
      <c r="A29" s="22" t="s">
        <v>26</v>
      </c>
      <c r="B29" s="26">
        <f t="shared" ref="B29:M29" si="14">B27-B28</f>
        <v>4437.7180000000008</v>
      </c>
      <c r="C29" s="26">
        <f t="shared" si="14"/>
        <v>5328.6258000000007</v>
      </c>
      <c r="D29" s="26">
        <f t="shared" si="14"/>
        <v>6340.1859516000013</v>
      </c>
      <c r="E29" s="26">
        <f t="shared" si="14"/>
        <v>7472.7760790196407</v>
      </c>
      <c r="F29" s="26">
        <f t="shared" si="14"/>
        <v>8595.4108508425852</v>
      </c>
      <c r="G29" s="26">
        <f t="shared" si="14"/>
        <v>9926.1151083953264</v>
      </c>
      <c r="H29" s="26">
        <f t="shared" si="14"/>
        <v>11430.174150974712</v>
      </c>
      <c r="I29" s="26">
        <f t="shared" si="14"/>
        <v>11028.719797200345</v>
      </c>
      <c r="J29" s="26">
        <f t="shared" si="14"/>
        <v>10513.476903284334</v>
      </c>
      <c r="K29" s="26">
        <f t="shared" si="14"/>
        <v>11901.847350773358</v>
      </c>
      <c r="L29" s="26">
        <f t="shared" si="14"/>
        <v>13300.74669029064</v>
      </c>
      <c r="M29" s="26">
        <f t="shared" si="14"/>
        <v>11520.243021261576</v>
      </c>
      <c r="N29" s="41">
        <f t="shared" si="11"/>
        <v>111796.03970364253</v>
      </c>
    </row>
    <row r="30" spans="1:14">
      <c r="A30" s="19"/>
      <c r="B30" s="19"/>
      <c r="N30" s="41"/>
    </row>
    <row r="31" spans="1:14">
      <c r="A31" s="18" t="s">
        <v>65</v>
      </c>
      <c r="B31" s="28">
        <f t="shared" ref="B31:M31" si="15">B27/B9*100</f>
        <v>31.743060860707921</v>
      </c>
      <c r="C31" s="28">
        <f t="shared" si="15"/>
        <v>34.650670185429547</v>
      </c>
      <c r="D31" s="28">
        <f t="shared" si="15"/>
        <v>37.412507472728571</v>
      </c>
      <c r="E31" s="28">
        <f t="shared" si="15"/>
        <v>39.981644494743492</v>
      </c>
      <c r="F31" s="28">
        <f t="shared" si="15"/>
        <v>41.845391193764279</v>
      </c>
      <c r="G31" s="28">
        <f t="shared" si="15"/>
        <v>44.002652805368612</v>
      </c>
      <c r="H31" s="28">
        <f t="shared" si="15"/>
        <v>46.164517585724866</v>
      </c>
      <c r="I31" s="28">
        <f t="shared" si="15"/>
        <v>45.68524322403848</v>
      </c>
      <c r="J31" s="28">
        <f t="shared" si="15"/>
        <v>44.897842196991938</v>
      </c>
      <c r="K31" s="28">
        <f t="shared" si="15"/>
        <v>46.71588543561829</v>
      </c>
      <c r="L31" s="28">
        <f t="shared" si="15"/>
        <v>48.028241672522668</v>
      </c>
      <c r="M31" s="28">
        <f t="shared" si="15"/>
        <v>46.221048824043578</v>
      </c>
      <c r="N31" s="41">
        <f t="shared" si="11"/>
        <v>507.34870595168218</v>
      </c>
    </row>
    <row r="32" spans="1:14">
      <c r="A32" s="19"/>
      <c r="B32" s="19"/>
    </row>
    <row r="33" spans="1:11" ht="18">
      <c r="A33" s="19"/>
      <c r="B33" s="19"/>
      <c r="F33" s="42" t="s">
        <v>68</v>
      </c>
      <c r="G33" s="43"/>
      <c r="H33" s="43"/>
      <c r="I33" s="43"/>
      <c r="J33" s="43"/>
      <c r="K33" s="43"/>
    </row>
    <row r="34" spans="1:11">
      <c r="F34" s="43"/>
      <c r="G34" s="43"/>
      <c r="H34" s="43"/>
      <c r="I34" s="43"/>
      <c r="J34" s="43"/>
      <c r="K34" s="43"/>
    </row>
    <row r="35" spans="1:11" ht="62.4">
      <c r="F35" s="30" t="s">
        <v>69</v>
      </c>
      <c r="G35" s="30" t="s">
        <v>70</v>
      </c>
      <c r="H35" s="30" t="s">
        <v>71</v>
      </c>
      <c r="I35" s="30" t="s">
        <v>72</v>
      </c>
      <c r="J35" s="30" t="s">
        <v>73</v>
      </c>
    </row>
    <row r="36" spans="1:11" ht="31.2">
      <c r="F36" s="32" t="s">
        <v>74</v>
      </c>
      <c r="G36" s="31">
        <v>10</v>
      </c>
      <c r="H36" s="31">
        <v>26</v>
      </c>
      <c r="I36" s="33">
        <v>25</v>
      </c>
      <c r="J36" s="33">
        <f>G36*H36*I36</f>
        <v>6500</v>
      </c>
    </row>
    <row r="37" spans="1:11" ht="31.2">
      <c r="F37" s="32" t="s">
        <v>75</v>
      </c>
      <c r="G37" s="31">
        <v>6</v>
      </c>
      <c r="H37" s="31">
        <v>26</v>
      </c>
      <c r="I37" s="33">
        <v>20</v>
      </c>
      <c r="J37" s="33">
        <f>G37*H37*I37</f>
        <v>3120</v>
      </c>
    </row>
    <row r="38" spans="1:11" ht="31.2">
      <c r="F38" s="32" t="s">
        <v>63</v>
      </c>
      <c r="G38" s="31">
        <v>2</v>
      </c>
      <c r="H38" s="31" t="s">
        <v>76</v>
      </c>
      <c r="I38" s="33">
        <v>1640</v>
      </c>
      <c r="J38" s="33">
        <f>G38*I38</f>
        <v>3280</v>
      </c>
    </row>
    <row r="39" spans="1:11">
      <c r="F39" s="22" t="s">
        <v>96</v>
      </c>
      <c r="G39" s="31">
        <v>12</v>
      </c>
      <c r="H39">
        <v>26</v>
      </c>
      <c r="I39" s="33">
        <v>9</v>
      </c>
      <c r="J39" s="33">
        <f>G39*H39*I39</f>
        <v>2808</v>
      </c>
    </row>
    <row r="40" spans="1:11">
      <c r="F40" t="s">
        <v>112</v>
      </c>
      <c r="H40" s="40"/>
      <c r="J40" s="36">
        <f>SUM(J36:J39)</f>
        <v>15708</v>
      </c>
    </row>
    <row r="43" spans="1:11" ht="18">
      <c r="F43" s="29" t="s">
        <v>97</v>
      </c>
    </row>
    <row r="44" spans="1:11">
      <c r="F44" s="1">
        <v>35</v>
      </c>
    </row>
    <row r="45" spans="1:11">
      <c r="F45" s="32"/>
      <c r="G45" s="31"/>
      <c r="H45" s="31"/>
      <c r="I45" s="33"/>
      <c r="J45" s="33"/>
    </row>
    <row r="46" spans="1:11" ht="18">
      <c r="F46" s="29" t="s">
        <v>77</v>
      </c>
    </row>
    <row r="48" spans="1:11" ht="46.8">
      <c r="F48" s="30" t="s">
        <v>78</v>
      </c>
      <c r="G48" s="30" t="s">
        <v>79</v>
      </c>
      <c r="H48" s="30" t="s">
        <v>80</v>
      </c>
      <c r="I48" s="30" t="s">
        <v>81</v>
      </c>
    </row>
    <row r="49" spans="6:9" ht="93.6">
      <c r="F49" s="32" t="s">
        <v>82</v>
      </c>
      <c r="G49" s="31" t="s">
        <v>83</v>
      </c>
      <c r="H49" s="31" t="s">
        <v>84</v>
      </c>
      <c r="I49" s="33">
        <v>1400</v>
      </c>
    </row>
    <row r="50" spans="6:9" ht="109.2">
      <c r="F50" s="32" t="s">
        <v>106</v>
      </c>
      <c r="G50" s="31">
        <v>2</v>
      </c>
      <c r="H50" s="33">
        <v>1300</v>
      </c>
      <c r="I50" s="33">
        <v>2600</v>
      </c>
    </row>
    <row r="51" spans="6:9" ht="140.4">
      <c r="F51" s="32" t="s">
        <v>99</v>
      </c>
      <c r="G51" s="31">
        <v>4</v>
      </c>
      <c r="H51" s="33">
        <v>100</v>
      </c>
      <c r="I51" s="33">
        <v>400</v>
      </c>
    </row>
    <row r="52" spans="6:9" ht="124.8">
      <c r="F52" s="32" t="s">
        <v>95</v>
      </c>
      <c r="G52" s="31">
        <v>12</v>
      </c>
      <c r="H52" s="33">
        <v>1200</v>
      </c>
      <c r="I52" s="33">
        <v>100</v>
      </c>
    </row>
    <row r="53" spans="6:9" ht="78">
      <c r="F53" s="32" t="s">
        <v>66</v>
      </c>
      <c r="G53" s="31" t="s">
        <v>87</v>
      </c>
      <c r="H53" s="31" t="s">
        <v>88</v>
      </c>
      <c r="I53" s="33">
        <v>400</v>
      </c>
    </row>
    <row r="54" spans="6:9" ht="140.4">
      <c r="F54" s="32" t="s">
        <v>89</v>
      </c>
      <c r="G54" s="31" t="s">
        <v>100</v>
      </c>
      <c r="H54" s="31" t="s">
        <v>90</v>
      </c>
      <c r="I54" s="33">
        <v>24</v>
      </c>
    </row>
    <row r="55" spans="6:9" ht="62.4">
      <c r="F55" s="32" t="s">
        <v>47</v>
      </c>
      <c r="G55" s="31" t="s">
        <v>91</v>
      </c>
      <c r="H55" s="31" t="s">
        <v>92</v>
      </c>
      <c r="I55" s="33">
        <v>300</v>
      </c>
    </row>
    <row r="56" spans="6:9" ht="46.8">
      <c r="F56" s="32" t="s">
        <v>93</v>
      </c>
      <c r="G56" s="31" t="s">
        <v>76</v>
      </c>
      <c r="H56" s="31" t="s">
        <v>76</v>
      </c>
      <c r="I56" s="36">
        <f>SUM(I49:I55)</f>
        <v>5224</v>
      </c>
    </row>
    <row r="58" spans="6:9" ht="46.8">
      <c r="F58" s="32" t="s">
        <v>102</v>
      </c>
    </row>
    <row r="59" spans="6:9">
      <c r="F59" s="1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329A8-6892-DD42-8CFE-7132A2C6914D}">
  <dimension ref="A1:N57"/>
  <sheetViews>
    <sheetView topLeftCell="A52" workbookViewId="0">
      <selection activeCell="F6" sqref="F6"/>
    </sheetView>
  </sheetViews>
  <sheetFormatPr defaultColWidth="11.19921875" defaultRowHeight="15.6"/>
  <cols>
    <col min="1" max="1" width="45.5" customWidth="1"/>
    <col min="2" max="2" width="12.3984375" bestFit="1" customWidth="1"/>
    <col min="14" max="14" width="12" bestFit="1" customWidth="1"/>
  </cols>
  <sheetData>
    <row r="1" spans="1:14">
      <c r="A1" s="4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>
      <c r="A2" s="4"/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4" t="s">
        <v>17</v>
      </c>
      <c r="M2" s="4" t="s">
        <v>18</v>
      </c>
      <c r="N2" s="4" t="s">
        <v>19</v>
      </c>
    </row>
    <row r="3" spans="1:14">
      <c r="A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A4" s="22" t="s">
        <v>6</v>
      </c>
      <c r="B4" s="4"/>
      <c r="C4" s="48">
        <v>0.05</v>
      </c>
      <c r="D4" s="50">
        <v>5.2999999999999999E-2</v>
      </c>
      <c r="E4" s="50">
        <v>5.1700000000000003E-2</v>
      </c>
      <c r="F4" s="50">
        <v>5.9400000000000001E-2</v>
      </c>
      <c r="G4" s="50">
        <v>8.8999999999999996E-2</v>
      </c>
      <c r="H4" s="50">
        <v>9.5000000000000001E-2</v>
      </c>
      <c r="I4" s="50">
        <v>4.2000000000000003E-2</v>
      </c>
      <c r="J4" s="48">
        <v>-0.02</v>
      </c>
      <c r="K4" s="48">
        <v>0.1</v>
      </c>
      <c r="L4" s="48">
        <v>0.11</v>
      </c>
      <c r="M4" s="50">
        <v>0.111</v>
      </c>
      <c r="N4" s="4"/>
    </row>
    <row r="5" spans="1:14">
      <c r="A5" s="31" t="s">
        <v>74</v>
      </c>
      <c r="B5" s="46">
        <f>G34*H34*I34</f>
        <v>14280</v>
      </c>
      <c r="C5" s="49">
        <f>B5+(B5*0.05)</f>
        <v>14994</v>
      </c>
      <c r="D5" s="49">
        <f>C5+(C5*0.053)</f>
        <v>15788.682000000001</v>
      </c>
      <c r="E5" s="49">
        <f>D5+(D5*0.0517)</f>
        <v>16604.956859400001</v>
      </c>
      <c r="F5" s="49">
        <f>E5+(E5*0.0594)</f>
        <v>17591.291296848362</v>
      </c>
      <c r="G5" s="49">
        <f>F5+(F5*0.089)</f>
        <v>19156.916222267864</v>
      </c>
      <c r="H5" s="49">
        <f>G5+(G5*0.095)</f>
        <v>20976.82326338331</v>
      </c>
      <c r="I5" s="49">
        <f>H5+(H5*0.042)</f>
        <v>21857.849840445411</v>
      </c>
      <c r="J5" s="49">
        <f>I5*(1-0.02)</f>
        <v>21420.692843636501</v>
      </c>
      <c r="K5" s="49">
        <f>J5+(J5*0.1)</f>
        <v>23562.762128000151</v>
      </c>
      <c r="L5" s="49">
        <f>K5+(K5*0.11)</f>
        <v>26154.665962080169</v>
      </c>
      <c r="M5" s="49">
        <f>L5+(L5*0.111)</f>
        <v>29057.83388387107</v>
      </c>
      <c r="N5" s="46">
        <f>SUM(B5:M5)</f>
        <v>241446.47429993283</v>
      </c>
    </row>
    <row r="6" spans="1:14">
      <c r="A6" s="19" t="s">
        <v>105</v>
      </c>
      <c r="B6" s="46">
        <f>G35*H35*I35</f>
        <v>6900</v>
      </c>
      <c r="C6" s="49">
        <f t="shared" ref="C6:C13" si="0">B6+(B6*0.05)</f>
        <v>7245</v>
      </c>
      <c r="D6" s="49">
        <f t="shared" ref="D6:D13" si="1">C6+(C6*0.053)</f>
        <v>7628.9849999999997</v>
      </c>
      <c r="E6" s="49">
        <f t="shared" ref="E6:E13" si="2">D6+(D6*0.0517)</f>
        <v>8023.4035244999995</v>
      </c>
      <c r="F6" s="49">
        <f t="shared" ref="F6:F13" si="3">E6+(E6*0.0594)</f>
        <v>8499.9936938553001</v>
      </c>
      <c r="G6" s="49">
        <f t="shared" ref="G6:G13" si="4">F6+(F6*0.089)</f>
        <v>9256.4931326084225</v>
      </c>
      <c r="H6" s="49">
        <f t="shared" ref="H6:H13" si="5">G6+(G6*0.095)</f>
        <v>10135.859980206224</v>
      </c>
      <c r="I6" s="49">
        <f t="shared" ref="I6:I13" si="6">H6+(H6*0.042)</f>
        <v>10561.566099374884</v>
      </c>
      <c r="J6" s="49">
        <f t="shared" ref="J6:J13" si="7">I6*(1-0.02)</f>
        <v>10350.334777387387</v>
      </c>
      <c r="K6" s="49">
        <f t="shared" ref="K6:K13" si="8">J6+(J6*0.1)</f>
        <v>11385.368255126124</v>
      </c>
      <c r="L6" s="49">
        <f t="shared" ref="L6:L13" si="9">K6+(K6*0.11)</f>
        <v>12637.758763189999</v>
      </c>
      <c r="M6" s="49">
        <f t="shared" ref="M6:M13" si="10">L6+(L6*0.111)</f>
        <v>14040.549985904088</v>
      </c>
      <c r="N6" s="46">
        <f t="shared" ref="N6:N31" si="11">SUM(B6:M6)</f>
        <v>116665.31321215242</v>
      </c>
    </row>
    <row r="7" spans="1:14">
      <c r="A7" s="31" t="s">
        <v>63</v>
      </c>
      <c r="B7" s="46">
        <f>G36*I36</f>
        <v>7600</v>
      </c>
      <c r="C7" s="49">
        <f t="shared" si="0"/>
        <v>7980</v>
      </c>
      <c r="D7" s="49">
        <f t="shared" si="1"/>
        <v>8402.94</v>
      </c>
      <c r="E7" s="49">
        <f t="shared" si="2"/>
        <v>8837.3719980000005</v>
      </c>
      <c r="F7" s="49">
        <f t="shared" si="3"/>
        <v>9362.311894681201</v>
      </c>
      <c r="G7" s="49">
        <f t="shared" si="4"/>
        <v>10195.557653307827</v>
      </c>
      <c r="H7" s="49">
        <f t="shared" si="5"/>
        <v>11164.135630372071</v>
      </c>
      <c r="I7" s="49">
        <f t="shared" si="6"/>
        <v>11633.029326847698</v>
      </c>
      <c r="J7" s="49">
        <f t="shared" si="7"/>
        <v>11400.368740310743</v>
      </c>
      <c r="K7" s="49">
        <f t="shared" si="8"/>
        <v>12540.405614341818</v>
      </c>
      <c r="L7" s="49">
        <f t="shared" si="9"/>
        <v>13919.850231919418</v>
      </c>
      <c r="M7" s="49">
        <f t="shared" si="10"/>
        <v>15464.953607662474</v>
      </c>
      <c r="N7" s="46">
        <f t="shared" si="11"/>
        <v>128500.92469744326</v>
      </c>
    </row>
    <row r="8" spans="1:14">
      <c r="A8" s="19" t="s">
        <v>96</v>
      </c>
      <c r="B8" s="46">
        <f>G37*H37*I37</f>
        <v>4680</v>
      </c>
      <c r="C8" s="49">
        <f t="shared" si="0"/>
        <v>4914</v>
      </c>
      <c r="D8" s="49">
        <f t="shared" si="1"/>
        <v>5174.442</v>
      </c>
      <c r="E8" s="49">
        <f t="shared" si="2"/>
        <v>5441.9606513999997</v>
      </c>
      <c r="F8" s="49">
        <f t="shared" si="3"/>
        <v>5765.2131140931597</v>
      </c>
      <c r="G8" s="49">
        <f t="shared" si="4"/>
        <v>6278.3170812474509</v>
      </c>
      <c r="H8" s="49">
        <f t="shared" si="5"/>
        <v>6874.757203965959</v>
      </c>
      <c r="I8" s="49">
        <f t="shared" si="6"/>
        <v>7163.4970065325297</v>
      </c>
      <c r="J8" s="49">
        <f t="shared" si="7"/>
        <v>7020.2270664018788</v>
      </c>
      <c r="K8" s="49">
        <f t="shared" si="8"/>
        <v>7722.2497730420664</v>
      </c>
      <c r="L8" s="49">
        <f t="shared" si="9"/>
        <v>8571.6972480766944</v>
      </c>
      <c r="M8" s="49">
        <f t="shared" si="10"/>
        <v>9523.1556426132083</v>
      </c>
      <c r="N8" s="46">
        <f t="shared" si="11"/>
        <v>79129.516787372937</v>
      </c>
    </row>
    <row r="9" spans="1:14">
      <c r="A9" s="22" t="s">
        <v>64</v>
      </c>
      <c r="B9" s="27">
        <f>SUM(B5:B8)</f>
        <v>33460</v>
      </c>
      <c r="C9" s="49">
        <f t="shared" si="0"/>
        <v>35133</v>
      </c>
      <c r="D9" s="49">
        <f t="shared" si="1"/>
        <v>36995.048999999999</v>
      </c>
      <c r="E9" s="49">
        <f t="shared" si="2"/>
        <v>38907.693033299998</v>
      </c>
      <c r="F9" s="49">
        <f t="shared" si="3"/>
        <v>41218.80999947802</v>
      </c>
      <c r="G9" s="49">
        <f t="shared" si="4"/>
        <v>44887.284089431567</v>
      </c>
      <c r="H9" s="49">
        <f t="shared" si="5"/>
        <v>49151.576077927566</v>
      </c>
      <c r="I9" s="49">
        <f t="shared" si="6"/>
        <v>51215.942273200526</v>
      </c>
      <c r="J9" s="49">
        <f t="shared" si="7"/>
        <v>50191.623427736515</v>
      </c>
      <c r="K9" s="49">
        <f t="shared" si="8"/>
        <v>55210.785770510163</v>
      </c>
      <c r="L9" s="49">
        <f t="shared" si="9"/>
        <v>61283.972205266284</v>
      </c>
      <c r="M9" s="49">
        <f t="shared" si="10"/>
        <v>68086.493120050844</v>
      </c>
      <c r="N9" s="46">
        <f t="shared" si="11"/>
        <v>565742.22899690154</v>
      </c>
    </row>
    <row r="10" spans="1:14">
      <c r="A10" s="5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6"/>
    </row>
    <row r="11" spans="1:14">
      <c r="A11" s="21" t="s">
        <v>98</v>
      </c>
      <c r="B11" s="46">
        <f>F42/100*B9</f>
        <v>11711</v>
      </c>
      <c r="C11" s="49">
        <f t="shared" si="0"/>
        <v>12296.55</v>
      </c>
      <c r="D11" s="49">
        <f t="shared" si="1"/>
        <v>12948.26715</v>
      </c>
      <c r="E11" s="49">
        <f t="shared" si="2"/>
        <v>13617.692561655</v>
      </c>
      <c r="F11" s="49">
        <f t="shared" si="3"/>
        <v>14426.583499817307</v>
      </c>
      <c r="G11" s="49">
        <f t="shared" si="4"/>
        <v>15710.549431301048</v>
      </c>
      <c r="H11" s="49">
        <f t="shared" si="5"/>
        <v>17203.051627274646</v>
      </c>
      <c r="I11" s="49">
        <f t="shared" si="6"/>
        <v>17925.579795620182</v>
      </c>
      <c r="J11" s="49">
        <f t="shared" si="7"/>
        <v>17567.068199707777</v>
      </c>
      <c r="K11" s="49">
        <f t="shared" si="8"/>
        <v>19323.775019678556</v>
      </c>
      <c r="L11" s="49">
        <f t="shared" si="9"/>
        <v>21449.390271843196</v>
      </c>
      <c r="M11" s="49">
        <f t="shared" si="10"/>
        <v>23830.272592017791</v>
      </c>
      <c r="N11" s="46">
        <f t="shared" si="11"/>
        <v>198009.78014891548</v>
      </c>
    </row>
    <row r="12" spans="1:14">
      <c r="A12" s="20"/>
      <c r="B12" s="4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6"/>
    </row>
    <row r="13" spans="1:14">
      <c r="A13" s="22" t="s">
        <v>44</v>
      </c>
      <c r="B13" s="26">
        <f>B9-B11</f>
        <v>21749</v>
      </c>
      <c r="C13" s="49">
        <f t="shared" si="0"/>
        <v>22836.45</v>
      </c>
      <c r="D13" s="49">
        <f t="shared" si="1"/>
        <v>24046.781849999999</v>
      </c>
      <c r="E13" s="49">
        <f t="shared" si="2"/>
        <v>25290.000471644998</v>
      </c>
      <c r="F13" s="49">
        <f t="shared" si="3"/>
        <v>26792.226499660712</v>
      </c>
      <c r="G13" s="49">
        <f t="shared" si="4"/>
        <v>29176.734658130514</v>
      </c>
      <c r="H13" s="49">
        <f t="shared" si="5"/>
        <v>31948.524450652912</v>
      </c>
      <c r="I13" s="49">
        <f t="shared" si="6"/>
        <v>33290.362477580333</v>
      </c>
      <c r="J13" s="49">
        <f t="shared" si="7"/>
        <v>32624.555228028727</v>
      </c>
      <c r="K13" s="49">
        <f t="shared" si="8"/>
        <v>35887.0107508316</v>
      </c>
      <c r="L13" s="49">
        <f t="shared" si="9"/>
        <v>39834.581933423076</v>
      </c>
      <c r="M13" s="49">
        <f t="shared" si="10"/>
        <v>44256.220528033038</v>
      </c>
      <c r="N13" s="46">
        <f t="shared" si="11"/>
        <v>367732.44884798588</v>
      </c>
    </row>
    <row r="14" spans="1: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6"/>
    </row>
    <row r="15" spans="1:14">
      <c r="A15" s="22" t="s">
        <v>45</v>
      </c>
      <c r="B15" s="6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6"/>
    </row>
    <row r="16" spans="1:14">
      <c r="A16" t="s">
        <v>82</v>
      </c>
      <c r="B16" s="46">
        <v>1800</v>
      </c>
      <c r="C16" s="46">
        <v>1800</v>
      </c>
      <c r="D16" s="46">
        <v>1800</v>
      </c>
      <c r="E16" s="46">
        <v>1800</v>
      </c>
      <c r="F16" s="46">
        <v>1800</v>
      </c>
      <c r="G16" s="46">
        <v>1800</v>
      </c>
      <c r="H16" s="46">
        <v>1800</v>
      </c>
      <c r="I16" s="46">
        <v>1800</v>
      </c>
      <c r="J16" s="46">
        <v>1800</v>
      </c>
      <c r="K16" s="46">
        <v>1800</v>
      </c>
      <c r="L16" s="46">
        <v>1800</v>
      </c>
      <c r="M16" s="46">
        <v>1800</v>
      </c>
      <c r="N16" s="46">
        <f t="shared" si="11"/>
        <v>21600</v>
      </c>
    </row>
    <row r="17" spans="1:14">
      <c r="A17" t="s">
        <v>85</v>
      </c>
      <c r="B17" s="46">
        <v>4000</v>
      </c>
      <c r="C17" s="46">
        <v>4000</v>
      </c>
      <c r="D17" s="46">
        <v>4000</v>
      </c>
      <c r="E17" s="46">
        <v>4000</v>
      </c>
      <c r="F17" s="46">
        <v>4000</v>
      </c>
      <c r="G17" s="46">
        <v>4000</v>
      </c>
      <c r="H17" s="46">
        <v>4000</v>
      </c>
      <c r="I17" s="46">
        <v>4000</v>
      </c>
      <c r="J17" s="46">
        <v>4000</v>
      </c>
      <c r="K17" s="46">
        <v>4000</v>
      </c>
      <c r="L17" s="46">
        <v>4000</v>
      </c>
      <c r="M17" s="46">
        <v>4000</v>
      </c>
      <c r="N17" s="46">
        <f t="shared" si="11"/>
        <v>48000</v>
      </c>
    </row>
    <row r="18" spans="1:14">
      <c r="A18" t="s">
        <v>46</v>
      </c>
      <c r="B18" s="46">
        <f>G49*H49</f>
        <v>600</v>
      </c>
      <c r="C18" s="46">
        <v>600</v>
      </c>
      <c r="D18" s="46">
        <v>600</v>
      </c>
      <c r="E18" s="46">
        <v>600</v>
      </c>
      <c r="F18" s="46">
        <v>600</v>
      </c>
      <c r="G18" s="46">
        <v>600</v>
      </c>
      <c r="H18" s="46">
        <v>600</v>
      </c>
      <c r="I18" s="46">
        <v>600</v>
      </c>
      <c r="J18" s="46">
        <v>600</v>
      </c>
      <c r="K18" s="46">
        <v>600</v>
      </c>
      <c r="L18" s="46">
        <v>600</v>
      </c>
      <c r="M18" s="46">
        <v>600</v>
      </c>
      <c r="N18" s="46">
        <f t="shared" si="11"/>
        <v>7200</v>
      </c>
    </row>
    <row r="19" spans="1:14">
      <c r="A19" t="s">
        <v>86</v>
      </c>
      <c r="B19" s="46">
        <f>H50/12</f>
        <v>100</v>
      </c>
      <c r="C19" s="46">
        <v>100</v>
      </c>
      <c r="D19" s="46">
        <v>100</v>
      </c>
      <c r="E19" s="46">
        <v>100</v>
      </c>
      <c r="F19" s="46">
        <v>100</v>
      </c>
      <c r="G19" s="46">
        <v>100</v>
      </c>
      <c r="H19" s="46">
        <v>100</v>
      </c>
      <c r="I19" s="46">
        <v>100</v>
      </c>
      <c r="J19" s="46">
        <v>100</v>
      </c>
      <c r="K19" s="46">
        <v>100</v>
      </c>
      <c r="L19" s="46">
        <v>100</v>
      </c>
      <c r="M19" s="46">
        <v>100</v>
      </c>
      <c r="N19" s="46">
        <f t="shared" si="11"/>
        <v>1200</v>
      </c>
    </row>
    <row r="20" spans="1:14">
      <c r="A20" t="s">
        <v>66</v>
      </c>
      <c r="B20" s="41">
        <v>700</v>
      </c>
      <c r="C20" s="41">
        <v>600</v>
      </c>
      <c r="D20" s="41">
        <v>620</v>
      </c>
      <c r="E20" s="41">
        <v>650</v>
      </c>
      <c r="F20" s="41">
        <v>590</v>
      </c>
      <c r="G20" s="41">
        <v>710</v>
      </c>
      <c r="H20" s="41">
        <v>620</v>
      </c>
      <c r="I20" s="41">
        <v>680</v>
      </c>
      <c r="J20" s="41">
        <v>715</v>
      </c>
      <c r="K20" s="41">
        <v>720</v>
      </c>
      <c r="L20" s="41">
        <v>640</v>
      </c>
      <c r="M20" s="41">
        <v>665</v>
      </c>
      <c r="N20" s="46">
        <f t="shared" si="11"/>
        <v>7910</v>
      </c>
    </row>
    <row r="21" spans="1:14">
      <c r="A21" t="s">
        <v>89</v>
      </c>
      <c r="B21" s="46">
        <v>48</v>
      </c>
      <c r="C21" s="41">
        <v>48</v>
      </c>
      <c r="D21" s="41">
        <v>48</v>
      </c>
      <c r="E21" s="41">
        <v>48</v>
      </c>
      <c r="F21" s="41">
        <v>48</v>
      </c>
      <c r="G21" s="41">
        <v>48</v>
      </c>
      <c r="H21" s="41">
        <v>48</v>
      </c>
      <c r="I21" s="41">
        <v>48</v>
      </c>
      <c r="J21" s="41">
        <v>48</v>
      </c>
      <c r="K21" s="41">
        <v>48</v>
      </c>
      <c r="L21" s="41">
        <v>48</v>
      </c>
      <c r="M21" s="41">
        <v>48</v>
      </c>
      <c r="N21" s="46">
        <f t="shared" si="11"/>
        <v>576</v>
      </c>
    </row>
    <row r="22" spans="1:14">
      <c r="A22" t="s">
        <v>94</v>
      </c>
      <c r="B22" s="46">
        <v>1500</v>
      </c>
      <c r="C22" s="41">
        <v>1470</v>
      </c>
      <c r="D22" s="46">
        <v>1590</v>
      </c>
      <c r="E22" s="46">
        <v>1490</v>
      </c>
      <c r="F22" s="46">
        <v>1300</v>
      </c>
      <c r="G22" s="46">
        <v>1700</v>
      </c>
      <c r="H22" s="46">
        <v>1660</v>
      </c>
      <c r="I22" s="46">
        <v>1470</v>
      </c>
      <c r="J22" s="46">
        <v>1500</v>
      </c>
      <c r="K22" s="46">
        <v>1460</v>
      </c>
      <c r="L22" s="46">
        <v>1520</v>
      </c>
      <c r="M22" s="46">
        <v>1430</v>
      </c>
      <c r="N22" s="46">
        <f t="shared" si="11"/>
        <v>18090</v>
      </c>
    </row>
    <row r="23" spans="1:14">
      <c r="A23" s="22" t="s">
        <v>25</v>
      </c>
      <c r="B23" s="41">
        <f>SUM(B16:B22)</f>
        <v>8748</v>
      </c>
      <c r="C23" s="41">
        <f>SUM(C16:C22)</f>
        <v>8618</v>
      </c>
      <c r="D23" s="41">
        <f t="shared" ref="D23:M23" si="12">SUM(D16:D22)</f>
        <v>8758</v>
      </c>
      <c r="E23" s="41">
        <f t="shared" si="12"/>
        <v>8688</v>
      </c>
      <c r="F23" s="41">
        <f t="shared" si="12"/>
        <v>8438</v>
      </c>
      <c r="G23" s="41">
        <f t="shared" si="12"/>
        <v>8958</v>
      </c>
      <c r="H23" s="41">
        <f t="shared" si="12"/>
        <v>8828</v>
      </c>
      <c r="I23" s="41">
        <f t="shared" si="12"/>
        <v>8698</v>
      </c>
      <c r="J23" s="41">
        <f t="shared" si="12"/>
        <v>8763</v>
      </c>
      <c r="K23" s="41">
        <f t="shared" si="12"/>
        <v>8728</v>
      </c>
      <c r="L23" s="41">
        <f t="shared" si="12"/>
        <v>8708</v>
      </c>
      <c r="M23" s="41">
        <f t="shared" si="12"/>
        <v>8643</v>
      </c>
      <c r="N23" s="46">
        <f t="shared" si="11"/>
        <v>104576</v>
      </c>
    </row>
    <row r="24" spans="1:14">
      <c r="N24" s="46"/>
    </row>
    <row r="25" spans="1:14">
      <c r="N25" s="46"/>
    </row>
    <row r="26" spans="1:14">
      <c r="N26" s="46"/>
    </row>
    <row r="27" spans="1:14">
      <c r="A27" s="22" t="s">
        <v>48</v>
      </c>
      <c r="B27" s="41">
        <f>B13-B23</f>
        <v>13001</v>
      </c>
      <c r="C27" s="41">
        <f>C13-C23</f>
        <v>14218.45</v>
      </c>
      <c r="D27" s="41">
        <f t="shared" ref="D27:M27" si="13">D13-D23</f>
        <v>15288.781849999999</v>
      </c>
      <c r="E27" s="41">
        <f t="shared" si="13"/>
        <v>16602.000471644998</v>
      </c>
      <c r="F27" s="41">
        <f t="shared" si="13"/>
        <v>18354.226499660712</v>
      </c>
      <c r="G27" s="41">
        <f t="shared" si="13"/>
        <v>20218.734658130514</v>
      </c>
      <c r="H27" s="41">
        <f t="shared" si="13"/>
        <v>23120.524450652912</v>
      </c>
      <c r="I27" s="41">
        <f t="shared" si="13"/>
        <v>24592.362477580333</v>
      </c>
      <c r="J27" s="41">
        <f t="shared" si="13"/>
        <v>23861.555228028727</v>
      </c>
      <c r="K27" s="41">
        <f t="shared" si="13"/>
        <v>27159.0107508316</v>
      </c>
      <c r="L27" s="41">
        <f t="shared" si="13"/>
        <v>31126.581933423076</v>
      </c>
      <c r="M27" s="41">
        <f t="shared" si="13"/>
        <v>35613.220528033038</v>
      </c>
      <c r="N27" s="46">
        <f t="shared" si="11"/>
        <v>263156.44884798594</v>
      </c>
    </row>
    <row r="28" spans="1:14">
      <c r="A28" s="19" t="s">
        <v>49</v>
      </c>
      <c r="B28" s="38">
        <f>F57/100*B27</f>
        <v>1430.11</v>
      </c>
      <c r="C28" s="38">
        <f>F57/100*C27</f>
        <v>1564.0295000000001</v>
      </c>
      <c r="D28" s="38">
        <f>F57/100*D27</f>
        <v>1681.7660034999999</v>
      </c>
      <c r="E28" s="38">
        <f>F57/100*E27</f>
        <v>1826.2200518809498</v>
      </c>
      <c r="F28" s="38">
        <f>F57/100*F27</f>
        <v>2018.9649149626782</v>
      </c>
      <c r="G28" s="38">
        <f>F57/100*G27</f>
        <v>2224.0608123943566</v>
      </c>
      <c r="H28" s="38">
        <f>F57/100*H27</f>
        <v>2543.2576895718203</v>
      </c>
      <c r="I28" s="38">
        <f>F57/100*I27</f>
        <v>2705.1598725338367</v>
      </c>
      <c r="J28" s="38">
        <f>F57/100*J27</f>
        <v>2624.7710750831598</v>
      </c>
      <c r="K28" s="38">
        <f>F57/100*K27</f>
        <v>2987.491182591476</v>
      </c>
      <c r="L28" s="38">
        <f>F57/100*L27</f>
        <v>3423.9240126765385</v>
      </c>
      <c r="M28" s="38">
        <f>F57/100*M27</f>
        <v>3917.4542580836342</v>
      </c>
      <c r="N28" s="46">
        <f t="shared" si="11"/>
        <v>28947.209373278452</v>
      </c>
    </row>
    <row r="29" spans="1:14">
      <c r="A29" s="22" t="s">
        <v>26</v>
      </c>
      <c r="B29" s="38">
        <f>B27-B28</f>
        <v>11570.89</v>
      </c>
      <c r="C29" s="38">
        <f>C27-C28</f>
        <v>12654.4205</v>
      </c>
      <c r="D29" s="38">
        <f>D27-D28</f>
        <v>13607.015846499999</v>
      </c>
      <c r="E29" s="38">
        <f t="shared" ref="E29:M29" si="14">E27-E28</f>
        <v>14775.780419764049</v>
      </c>
      <c r="F29" s="38">
        <f t="shared" si="14"/>
        <v>16335.261584698033</v>
      </c>
      <c r="G29" s="38">
        <f t="shared" si="14"/>
        <v>17994.673845736157</v>
      </c>
      <c r="H29" s="38">
        <f t="shared" si="14"/>
        <v>20577.266761081093</v>
      </c>
      <c r="I29" s="38">
        <f t="shared" si="14"/>
        <v>21887.202605046496</v>
      </c>
      <c r="J29" s="38">
        <f t="shared" si="14"/>
        <v>21236.784152945565</v>
      </c>
      <c r="K29" s="38">
        <f t="shared" si="14"/>
        <v>24171.519568240124</v>
      </c>
      <c r="L29" s="38">
        <f t="shared" si="14"/>
        <v>27702.657920746537</v>
      </c>
      <c r="M29" s="38">
        <f t="shared" si="14"/>
        <v>31695.766269949403</v>
      </c>
      <c r="N29" s="46">
        <f t="shared" si="11"/>
        <v>234209.23947470749</v>
      </c>
    </row>
    <row r="30" spans="1:14">
      <c r="A30" s="19"/>
      <c r="N30" s="46"/>
    </row>
    <row r="31" spans="1:14">
      <c r="A31" s="18" t="s">
        <v>65</v>
      </c>
      <c r="B31" s="47">
        <f>B29/B9*100</f>
        <v>34.581261207411835</v>
      </c>
      <c r="C31" s="47">
        <f>C29/C9*100</f>
        <v>36.018616400535109</v>
      </c>
      <c r="D31" s="47">
        <f t="shared" ref="D31:M31" si="15">D29/D9*100</f>
        <v>36.780640151334843</v>
      </c>
      <c r="E31" s="47">
        <f t="shared" si="15"/>
        <v>37.976500963749956</v>
      </c>
      <c r="F31" s="47">
        <f t="shared" si="15"/>
        <v>39.630599682292861</v>
      </c>
      <c r="G31" s="47">
        <f t="shared" si="15"/>
        <v>40.088577891868695</v>
      </c>
      <c r="H31" s="47">
        <f t="shared" si="15"/>
        <v>41.864917471734337</v>
      </c>
      <c r="I31" s="47">
        <f t="shared" si="15"/>
        <v>42.735136040832515</v>
      </c>
      <c r="J31" s="47">
        <f t="shared" si="15"/>
        <v>42.311411153140455</v>
      </c>
      <c r="K31" s="47">
        <f t="shared" si="15"/>
        <v>43.780430274460798</v>
      </c>
      <c r="L31" s="47">
        <f t="shared" si="15"/>
        <v>45.203757073641484</v>
      </c>
      <c r="M31" s="47">
        <f t="shared" si="15"/>
        <v>46.552208547535386</v>
      </c>
      <c r="N31" s="46">
        <f t="shared" si="11"/>
        <v>487.52405685853824</v>
      </c>
    </row>
    <row r="32" spans="1:14" ht="18">
      <c r="F32" s="42" t="s">
        <v>68</v>
      </c>
      <c r="G32" s="43"/>
      <c r="H32" s="43"/>
      <c r="I32" s="43"/>
      <c r="J32" s="43"/>
      <c r="K32" s="43"/>
    </row>
    <row r="33" spans="6:10" ht="62.4">
      <c r="F33" s="30" t="s">
        <v>69</v>
      </c>
      <c r="G33" s="30" t="s">
        <v>70</v>
      </c>
      <c r="H33" s="30" t="s">
        <v>71</v>
      </c>
      <c r="I33" s="30" t="s">
        <v>72</v>
      </c>
      <c r="J33" s="30" t="s">
        <v>73</v>
      </c>
    </row>
    <row r="34" spans="6:10" ht="31.2">
      <c r="F34" s="32" t="s">
        <v>74</v>
      </c>
      <c r="G34" s="31">
        <v>17</v>
      </c>
      <c r="H34" s="31">
        <v>30</v>
      </c>
      <c r="I34" s="33">
        <v>28</v>
      </c>
      <c r="J34" s="33">
        <f>G34*H34*I34</f>
        <v>14280</v>
      </c>
    </row>
    <row r="35" spans="6:10" ht="31.2">
      <c r="F35" s="32" t="s">
        <v>75</v>
      </c>
      <c r="G35" s="31">
        <v>10</v>
      </c>
      <c r="H35" s="31">
        <v>30</v>
      </c>
      <c r="I35" s="33">
        <v>23</v>
      </c>
      <c r="J35" s="33">
        <f>G35*H35*I35</f>
        <v>6900</v>
      </c>
    </row>
    <row r="36" spans="6:10" ht="31.2">
      <c r="F36" s="32" t="s">
        <v>63</v>
      </c>
      <c r="G36" s="31">
        <v>4</v>
      </c>
      <c r="H36" s="31" t="s">
        <v>76</v>
      </c>
      <c r="I36" s="33">
        <v>1900</v>
      </c>
      <c r="J36" s="33">
        <f>G36*I36</f>
        <v>7600</v>
      </c>
    </row>
    <row r="37" spans="6:10">
      <c r="F37" s="22" t="s">
        <v>109</v>
      </c>
      <c r="G37" s="31">
        <v>13</v>
      </c>
      <c r="H37">
        <v>30</v>
      </c>
      <c r="I37" s="33">
        <v>12</v>
      </c>
      <c r="J37" s="33">
        <f>G37*H37*I37</f>
        <v>4680</v>
      </c>
    </row>
    <row r="38" spans="6:10">
      <c r="F38" t="s">
        <v>111</v>
      </c>
      <c r="H38" s="40"/>
      <c r="J38" s="36">
        <f>SUM(J34:J37)</f>
        <v>33460</v>
      </c>
    </row>
    <row r="41" spans="6:10" ht="18">
      <c r="F41" s="29" t="s">
        <v>97</v>
      </c>
    </row>
    <row r="42" spans="6:10">
      <c r="F42" s="1">
        <v>35</v>
      </c>
    </row>
    <row r="43" spans="6:10">
      <c r="F43" s="32"/>
      <c r="G43" s="31"/>
      <c r="H43" s="31"/>
      <c r="I43" s="33"/>
      <c r="J43" s="33"/>
    </row>
    <row r="44" spans="6:10" ht="18">
      <c r="F44" s="29" t="s">
        <v>77</v>
      </c>
    </row>
    <row r="46" spans="6:10" ht="46.8">
      <c r="F46" s="30" t="s">
        <v>78</v>
      </c>
      <c r="G46" s="30" t="s">
        <v>79</v>
      </c>
      <c r="H46" s="30" t="s">
        <v>80</v>
      </c>
      <c r="I46" s="30" t="s">
        <v>81</v>
      </c>
    </row>
    <row r="47" spans="6:10" ht="93.6">
      <c r="F47" s="32" t="s">
        <v>82</v>
      </c>
      <c r="G47" s="31" t="s">
        <v>83</v>
      </c>
      <c r="H47" s="31" t="s">
        <v>84</v>
      </c>
      <c r="I47" s="33">
        <v>1800</v>
      </c>
    </row>
    <row r="48" spans="6:10" ht="78">
      <c r="F48" s="32" t="s">
        <v>107</v>
      </c>
      <c r="G48" s="31"/>
      <c r="H48" s="33"/>
      <c r="I48" s="33">
        <v>4000</v>
      </c>
    </row>
    <row r="49" spans="6:9" ht="140.4">
      <c r="F49" s="32" t="s">
        <v>110</v>
      </c>
      <c r="G49" s="31">
        <v>4</v>
      </c>
      <c r="H49" s="33">
        <v>150</v>
      </c>
      <c r="I49" s="33">
        <v>600</v>
      </c>
    </row>
    <row r="50" spans="6:9" ht="124.8">
      <c r="F50" s="32" t="s">
        <v>95</v>
      </c>
      <c r="G50" s="31">
        <v>12</v>
      </c>
      <c r="H50" s="33">
        <v>1200</v>
      </c>
      <c r="I50" s="33">
        <v>100</v>
      </c>
    </row>
    <row r="51" spans="6:9" ht="78">
      <c r="F51" s="32" t="s">
        <v>66</v>
      </c>
      <c r="G51" s="31" t="s">
        <v>87</v>
      </c>
      <c r="H51" s="31" t="s">
        <v>88</v>
      </c>
      <c r="I51" s="33">
        <v>700</v>
      </c>
    </row>
    <row r="52" spans="6:9" ht="140.4">
      <c r="F52" s="32" t="s">
        <v>89</v>
      </c>
      <c r="G52" s="31" t="s">
        <v>108</v>
      </c>
      <c r="H52" s="31" t="s">
        <v>90</v>
      </c>
      <c r="I52" s="33">
        <v>48</v>
      </c>
    </row>
    <row r="53" spans="6:9" ht="62.4">
      <c r="F53" s="32" t="s">
        <v>47</v>
      </c>
      <c r="G53" s="31" t="s">
        <v>91</v>
      </c>
      <c r="H53" s="31" t="s">
        <v>92</v>
      </c>
      <c r="I53" s="33">
        <v>1500</v>
      </c>
    </row>
    <row r="54" spans="6:9" ht="46.8">
      <c r="F54" s="32" t="s">
        <v>93</v>
      </c>
      <c r="G54" s="31" t="s">
        <v>76</v>
      </c>
      <c r="H54" s="31" t="s">
        <v>76</v>
      </c>
      <c r="I54" s="36">
        <f>SUM(I47:I53)</f>
        <v>8748</v>
      </c>
    </row>
    <row r="56" spans="6:9" ht="46.8">
      <c r="F56" s="32" t="s">
        <v>102</v>
      </c>
    </row>
    <row r="57" spans="6:9">
      <c r="F57" s="1"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1886-7D71-DF43-AAF6-B26B3FE34E2A}">
  <dimension ref="A1:N48"/>
  <sheetViews>
    <sheetView workbookViewId="0">
      <selection activeCell="F16" sqref="F16"/>
    </sheetView>
  </sheetViews>
  <sheetFormatPr defaultColWidth="11.19921875" defaultRowHeight="15.6"/>
  <cols>
    <col min="1" max="1" width="34.796875" bestFit="1" customWidth="1"/>
  </cols>
  <sheetData>
    <row r="1" spans="1:13">
      <c r="A1" t="s">
        <v>3</v>
      </c>
    </row>
    <row r="2" spans="1:13">
      <c r="B2" s="17" t="s">
        <v>7</v>
      </c>
      <c r="C2" s="17" t="s">
        <v>8</v>
      </c>
      <c r="D2" s="17" t="s">
        <v>9</v>
      </c>
      <c r="E2" s="17" t="s">
        <v>10</v>
      </c>
      <c r="F2" s="17" t="s">
        <v>11</v>
      </c>
      <c r="G2" s="17" t="s">
        <v>12</v>
      </c>
      <c r="H2" s="17" t="s">
        <v>13</v>
      </c>
      <c r="I2" s="17" t="s">
        <v>14</v>
      </c>
      <c r="J2" s="17" t="s">
        <v>15</v>
      </c>
      <c r="K2" s="17" t="s">
        <v>16</v>
      </c>
      <c r="L2" s="17" t="s">
        <v>17</v>
      </c>
      <c r="M2" s="17" t="s">
        <v>18</v>
      </c>
    </row>
    <row r="3" spans="1:13">
      <c r="A3" s="1" t="s">
        <v>28</v>
      </c>
      <c r="B3" s="56">
        <v>0</v>
      </c>
      <c r="C3" s="56">
        <f t="shared" ref="C3:M3" si="0">B3+B34</f>
        <v>293</v>
      </c>
      <c r="D3" s="56">
        <f t="shared" si="0"/>
        <v>1037.6999999999998</v>
      </c>
      <c r="E3" s="56">
        <f t="shared" si="0"/>
        <v>2206.3999999999996</v>
      </c>
      <c r="F3" s="56">
        <f t="shared" si="0"/>
        <v>3887.5099999999984</v>
      </c>
      <c r="G3" s="56">
        <f t="shared" si="0"/>
        <v>6121.8299999999981</v>
      </c>
      <c r="H3" s="56">
        <f t="shared" si="0"/>
        <v>8166.4999999999982</v>
      </c>
      <c r="I3" s="56">
        <f t="shared" si="0"/>
        <v>10121.999999999996</v>
      </c>
      <c r="J3" s="56">
        <f t="shared" si="0"/>
        <v>12560.819999999998</v>
      </c>
      <c r="K3" s="56">
        <f t="shared" si="0"/>
        <v>15597.489999999998</v>
      </c>
      <c r="L3" s="56">
        <f t="shared" si="0"/>
        <v>19244.009999999998</v>
      </c>
      <c r="M3" s="56">
        <f t="shared" si="0"/>
        <v>23491.78</v>
      </c>
    </row>
    <row r="4" spans="1:13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>
      <c r="A5" s="1" t="s">
        <v>31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>
      <c r="A6" t="s">
        <v>30</v>
      </c>
      <c r="B6" s="56">
        <v>6180</v>
      </c>
      <c r="C6" s="56">
        <v>6798</v>
      </c>
      <c r="D6" s="56">
        <v>7511.8</v>
      </c>
      <c r="E6" s="56">
        <v>7365.55</v>
      </c>
      <c r="F6" s="56">
        <v>8212.7999999999993</v>
      </c>
      <c r="G6" s="56">
        <v>6136.42</v>
      </c>
      <c r="H6" s="56">
        <v>6057.69</v>
      </c>
      <c r="I6" s="56">
        <v>6288.88</v>
      </c>
      <c r="J6" s="56">
        <v>7454.1</v>
      </c>
      <c r="K6" s="56">
        <v>8885.41</v>
      </c>
      <c r="L6" s="56">
        <v>8381.33</v>
      </c>
      <c r="M6" s="56">
        <v>9974.93</v>
      </c>
    </row>
    <row r="7" spans="1:13">
      <c r="A7" t="s">
        <v>29</v>
      </c>
      <c r="B7" s="56">
        <v>0</v>
      </c>
      <c r="C7" s="56">
        <v>0</v>
      </c>
      <c r="D7" s="56">
        <v>0</v>
      </c>
      <c r="E7" s="56">
        <v>950</v>
      </c>
      <c r="F7" s="56">
        <v>1000</v>
      </c>
      <c r="G7" s="56">
        <v>2800</v>
      </c>
      <c r="H7" s="56">
        <v>2700</v>
      </c>
      <c r="I7" s="56">
        <v>3257</v>
      </c>
      <c r="J7" s="56">
        <v>2970</v>
      </c>
      <c r="K7" s="56">
        <v>2500</v>
      </c>
      <c r="L7" s="56">
        <v>4006</v>
      </c>
      <c r="M7" s="56">
        <v>3500</v>
      </c>
    </row>
    <row r="8" spans="1:13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>
      <c r="A9" s="1" t="s">
        <v>32</v>
      </c>
      <c r="B9" s="56">
        <f>B6+B7</f>
        <v>6180</v>
      </c>
      <c r="C9" s="56">
        <f t="shared" ref="C9:M9" si="1">C6+C7</f>
        <v>6798</v>
      </c>
      <c r="D9" s="56">
        <f t="shared" si="1"/>
        <v>7511.8</v>
      </c>
      <c r="E9" s="56">
        <f t="shared" si="1"/>
        <v>8315.5499999999993</v>
      </c>
      <c r="F9" s="56">
        <f t="shared" si="1"/>
        <v>9212.7999999999993</v>
      </c>
      <c r="G9" s="56">
        <f t="shared" si="1"/>
        <v>8936.42</v>
      </c>
      <c r="H9" s="56">
        <f t="shared" si="1"/>
        <v>8757.6899999999987</v>
      </c>
      <c r="I9" s="56">
        <f t="shared" si="1"/>
        <v>9545.880000000001</v>
      </c>
      <c r="J9" s="56">
        <f t="shared" si="1"/>
        <v>10424.1</v>
      </c>
      <c r="K9" s="56">
        <f t="shared" si="1"/>
        <v>11385.41</v>
      </c>
      <c r="L9" s="56">
        <f t="shared" si="1"/>
        <v>12387.33</v>
      </c>
      <c r="M9" s="56">
        <f t="shared" si="1"/>
        <v>13474.93</v>
      </c>
    </row>
    <row r="10" spans="1:13">
      <c r="A10" s="1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</row>
    <row r="11" spans="1:13">
      <c r="A11" s="1" t="s">
        <v>40</v>
      </c>
      <c r="B11" s="56">
        <f>B3+B9</f>
        <v>6180</v>
      </c>
      <c r="C11" s="56">
        <f t="shared" ref="C11:M11" si="2">C3+C9</f>
        <v>7091</v>
      </c>
      <c r="D11" s="56">
        <f t="shared" si="2"/>
        <v>8549.5</v>
      </c>
      <c r="E11" s="56">
        <f t="shared" si="2"/>
        <v>10521.949999999999</v>
      </c>
      <c r="F11" s="56">
        <f t="shared" si="2"/>
        <v>13100.309999999998</v>
      </c>
      <c r="G11" s="56">
        <f t="shared" si="2"/>
        <v>15058.249999999998</v>
      </c>
      <c r="H11" s="56">
        <f t="shared" si="2"/>
        <v>16924.189999999995</v>
      </c>
      <c r="I11" s="56">
        <f t="shared" si="2"/>
        <v>19667.879999999997</v>
      </c>
      <c r="J11" s="56">
        <f t="shared" si="2"/>
        <v>22984.92</v>
      </c>
      <c r="K11" s="56">
        <f t="shared" si="2"/>
        <v>26982.899999999998</v>
      </c>
      <c r="L11" s="56">
        <f t="shared" si="2"/>
        <v>31631.339999999997</v>
      </c>
      <c r="M11" s="56">
        <f t="shared" si="2"/>
        <v>36966.71</v>
      </c>
    </row>
    <row r="12" spans="1:13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spans="1:13">
      <c r="A13" s="1" t="s">
        <v>33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>
      <c r="A14" t="s">
        <v>27</v>
      </c>
      <c r="B14" s="56">
        <v>2163</v>
      </c>
      <c r="C14" s="56">
        <v>2379.3000000000002</v>
      </c>
      <c r="D14" s="56">
        <v>2629.1</v>
      </c>
      <c r="E14" s="56">
        <v>2910.44</v>
      </c>
      <c r="F14" s="56">
        <v>3224.48</v>
      </c>
      <c r="G14" s="56">
        <v>3127.75</v>
      </c>
      <c r="H14" s="56">
        <v>3065.19</v>
      </c>
      <c r="I14" s="56">
        <v>3341.06</v>
      </c>
      <c r="J14" s="56">
        <v>3648.43</v>
      </c>
      <c r="K14" s="56">
        <v>3984.89</v>
      </c>
      <c r="L14" s="56">
        <v>4335.5600000000004</v>
      </c>
      <c r="M14" s="56">
        <v>4716.2299999999996</v>
      </c>
    </row>
    <row r="15" spans="1:13"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</row>
    <row r="16" spans="1:13">
      <c r="A16" s="9" t="s">
        <v>36</v>
      </c>
      <c r="B16" s="56">
        <f>B14+B15</f>
        <v>2163</v>
      </c>
      <c r="C16" s="56">
        <f t="shared" ref="C16:M16" si="3">C14+C15</f>
        <v>2379.3000000000002</v>
      </c>
      <c r="D16" s="56">
        <f t="shared" si="3"/>
        <v>2629.1</v>
      </c>
      <c r="E16" s="56">
        <f t="shared" si="3"/>
        <v>2910.44</v>
      </c>
      <c r="F16" s="56">
        <f t="shared" si="3"/>
        <v>3224.48</v>
      </c>
      <c r="G16" s="56">
        <f t="shared" si="3"/>
        <v>3127.75</v>
      </c>
      <c r="H16" s="56">
        <f t="shared" si="3"/>
        <v>3065.19</v>
      </c>
      <c r="I16" s="56">
        <f t="shared" si="3"/>
        <v>3341.06</v>
      </c>
      <c r="J16" s="56">
        <f t="shared" si="3"/>
        <v>3648.43</v>
      </c>
      <c r="K16" s="56">
        <f t="shared" si="3"/>
        <v>3984.89</v>
      </c>
      <c r="L16" s="56">
        <f t="shared" si="3"/>
        <v>4335.5600000000004</v>
      </c>
      <c r="M16" s="56">
        <f t="shared" si="3"/>
        <v>4716.2299999999996</v>
      </c>
    </row>
    <row r="17" spans="1:13">
      <c r="A17" s="9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3">
      <c r="A18" s="1" t="s">
        <v>34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</row>
    <row r="19" spans="1:13">
      <c r="A19" t="s">
        <v>82</v>
      </c>
      <c r="B19" s="59">
        <v>900</v>
      </c>
      <c r="C19" s="56">
        <v>900</v>
      </c>
      <c r="D19" s="56">
        <v>900</v>
      </c>
      <c r="E19" s="56">
        <v>900</v>
      </c>
      <c r="F19" s="56">
        <v>900</v>
      </c>
      <c r="G19" s="56">
        <v>900</v>
      </c>
      <c r="H19" s="56">
        <v>900</v>
      </c>
      <c r="I19" s="56">
        <v>900</v>
      </c>
      <c r="J19" s="56">
        <v>900</v>
      </c>
      <c r="K19" s="56">
        <v>900</v>
      </c>
      <c r="L19" s="56">
        <v>900</v>
      </c>
      <c r="M19" s="56">
        <v>900</v>
      </c>
    </row>
    <row r="20" spans="1:13">
      <c r="A20" t="s">
        <v>85</v>
      </c>
      <c r="B20" s="59">
        <v>2000</v>
      </c>
      <c r="C20" s="56">
        <v>2000</v>
      </c>
      <c r="D20" s="56">
        <v>2000</v>
      </c>
      <c r="E20" s="56">
        <v>2000</v>
      </c>
      <c r="F20" s="56">
        <v>2000</v>
      </c>
      <c r="G20" s="56">
        <v>2000</v>
      </c>
      <c r="H20" s="56">
        <v>2000</v>
      </c>
      <c r="I20" s="56">
        <v>2000</v>
      </c>
      <c r="J20" s="56">
        <v>2000</v>
      </c>
      <c r="K20" s="56">
        <v>2000</v>
      </c>
      <c r="L20" s="56">
        <v>2000</v>
      </c>
      <c r="M20" s="56">
        <v>2000</v>
      </c>
    </row>
    <row r="21" spans="1:13">
      <c r="A21" t="s">
        <v>46</v>
      </c>
      <c r="B21" s="59">
        <v>400</v>
      </c>
      <c r="C21" s="56">
        <v>400</v>
      </c>
      <c r="D21" s="56">
        <v>400</v>
      </c>
      <c r="E21" s="56">
        <v>400</v>
      </c>
      <c r="F21" s="56">
        <v>400</v>
      </c>
      <c r="G21" s="56">
        <v>400</v>
      </c>
      <c r="H21" s="56">
        <v>400</v>
      </c>
      <c r="I21" s="56">
        <v>400</v>
      </c>
      <c r="J21" s="56">
        <v>400</v>
      </c>
      <c r="K21" s="56">
        <v>400</v>
      </c>
      <c r="L21" s="56">
        <v>400</v>
      </c>
      <c r="M21" s="56">
        <v>400</v>
      </c>
    </row>
    <row r="22" spans="1:13">
      <c r="A22" t="s">
        <v>86</v>
      </c>
      <c r="B22" s="59">
        <v>100</v>
      </c>
      <c r="C22" s="56">
        <v>100</v>
      </c>
      <c r="D22" s="56">
        <v>100</v>
      </c>
      <c r="E22" s="56">
        <v>100</v>
      </c>
      <c r="F22" s="56">
        <v>100</v>
      </c>
      <c r="G22" s="56">
        <v>100</v>
      </c>
      <c r="H22" s="56">
        <v>100</v>
      </c>
      <c r="I22" s="56">
        <v>100</v>
      </c>
      <c r="J22" s="56">
        <v>100</v>
      </c>
      <c r="K22" s="56">
        <v>100</v>
      </c>
      <c r="L22" s="56">
        <v>100</v>
      </c>
      <c r="M22" s="56">
        <v>100</v>
      </c>
    </row>
    <row r="23" spans="1:13">
      <c r="A23" t="s">
        <v>66</v>
      </c>
      <c r="B23" s="59">
        <v>100</v>
      </c>
      <c r="C23" s="56">
        <v>100</v>
      </c>
      <c r="D23" s="56">
        <v>110</v>
      </c>
      <c r="E23" s="56">
        <v>110</v>
      </c>
      <c r="F23" s="56">
        <v>120</v>
      </c>
      <c r="G23" s="56">
        <v>90</v>
      </c>
      <c r="H23" s="56">
        <v>113</v>
      </c>
      <c r="I23" s="56">
        <v>122</v>
      </c>
      <c r="J23" s="56">
        <v>125</v>
      </c>
      <c r="K23" s="56">
        <v>100</v>
      </c>
      <c r="L23" s="56">
        <v>130</v>
      </c>
      <c r="M23" s="56">
        <v>140</v>
      </c>
    </row>
    <row r="24" spans="1:13">
      <c r="A24" t="s">
        <v>89</v>
      </c>
      <c r="B24" s="59">
        <v>24</v>
      </c>
      <c r="C24" s="56">
        <v>24</v>
      </c>
      <c r="D24" s="56">
        <v>24</v>
      </c>
      <c r="E24" s="56">
        <v>24</v>
      </c>
      <c r="F24" s="56">
        <v>24</v>
      </c>
      <c r="G24" s="56">
        <v>24</v>
      </c>
      <c r="H24" s="56">
        <v>24</v>
      </c>
      <c r="I24" s="56">
        <v>24</v>
      </c>
      <c r="J24" s="56">
        <v>24</v>
      </c>
      <c r="K24" s="56">
        <v>24</v>
      </c>
      <c r="L24" s="56">
        <v>24</v>
      </c>
      <c r="M24" s="56">
        <v>24</v>
      </c>
    </row>
    <row r="25" spans="1:13">
      <c r="A25" t="s">
        <v>94</v>
      </c>
      <c r="B25" s="59">
        <v>200</v>
      </c>
      <c r="C25" s="56">
        <v>150</v>
      </c>
      <c r="D25" s="56">
        <v>180</v>
      </c>
      <c r="E25" s="56">
        <v>190</v>
      </c>
      <c r="F25" s="56">
        <v>210</v>
      </c>
      <c r="G25" s="56">
        <v>250</v>
      </c>
      <c r="H25" s="56">
        <v>200</v>
      </c>
      <c r="I25" s="56">
        <v>220</v>
      </c>
      <c r="J25" s="56">
        <v>190</v>
      </c>
      <c r="K25" s="56">
        <v>230</v>
      </c>
      <c r="L25" s="56">
        <v>250</v>
      </c>
      <c r="M25" s="56">
        <v>280</v>
      </c>
    </row>
    <row r="26" spans="1:13">
      <c r="A26" s="9" t="s">
        <v>35</v>
      </c>
      <c r="B26" s="56">
        <f t="shared" ref="B26:M26" si="4">SUM(B19:B25)</f>
        <v>3724</v>
      </c>
      <c r="C26" s="56">
        <f t="shared" si="4"/>
        <v>3674</v>
      </c>
      <c r="D26" s="56">
        <f t="shared" si="4"/>
        <v>3714</v>
      </c>
      <c r="E26" s="56">
        <f t="shared" si="4"/>
        <v>3724</v>
      </c>
      <c r="F26" s="56">
        <f t="shared" si="4"/>
        <v>3754</v>
      </c>
      <c r="G26" s="56">
        <f t="shared" si="4"/>
        <v>3764</v>
      </c>
      <c r="H26" s="56">
        <f t="shared" si="4"/>
        <v>3737</v>
      </c>
      <c r="I26" s="56">
        <f t="shared" si="4"/>
        <v>3766</v>
      </c>
      <c r="J26" s="56">
        <f t="shared" si="4"/>
        <v>3739</v>
      </c>
      <c r="K26" s="56">
        <f t="shared" si="4"/>
        <v>3754</v>
      </c>
      <c r="L26" s="56">
        <f t="shared" si="4"/>
        <v>3804</v>
      </c>
      <c r="M26" s="56">
        <f t="shared" si="4"/>
        <v>3844</v>
      </c>
    </row>
    <row r="27" spans="1:13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</row>
    <row r="29" spans="1:13">
      <c r="A29" s="1" t="s">
        <v>37</v>
      </c>
      <c r="B29" s="56">
        <f t="shared" ref="B29:M29" si="5">B16+B26</f>
        <v>5887</v>
      </c>
      <c r="C29" s="56">
        <f t="shared" si="5"/>
        <v>6053.3</v>
      </c>
      <c r="D29" s="56">
        <f t="shared" si="5"/>
        <v>6343.1</v>
      </c>
      <c r="E29" s="56">
        <f t="shared" si="5"/>
        <v>6634.4400000000005</v>
      </c>
      <c r="F29" s="56">
        <f t="shared" si="5"/>
        <v>6978.48</v>
      </c>
      <c r="G29" s="56">
        <f t="shared" si="5"/>
        <v>6891.75</v>
      </c>
      <c r="H29" s="56">
        <f t="shared" si="5"/>
        <v>6802.1900000000005</v>
      </c>
      <c r="I29" s="56">
        <f t="shared" si="5"/>
        <v>7107.0599999999995</v>
      </c>
      <c r="J29" s="56">
        <f t="shared" si="5"/>
        <v>7387.43</v>
      </c>
      <c r="K29" s="56">
        <f t="shared" si="5"/>
        <v>7738.8899999999994</v>
      </c>
      <c r="L29" s="56">
        <f t="shared" si="5"/>
        <v>8139.56</v>
      </c>
      <c r="M29" s="56">
        <f t="shared" si="5"/>
        <v>8560.23</v>
      </c>
    </row>
    <row r="30" spans="1:13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</row>
    <row r="31" spans="1:13">
      <c r="A31" t="s">
        <v>38</v>
      </c>
      <c r="B31" s="56">
        <f t="shared" ref="B31:M31" si="6">B9</f>
        <v>6180</v>
      </c>
      <c r="C31" s="56">
        <f t="shared" si="6"/>
        <v>6798</v>
      </c>
      <c r="D31" s="56">
        <f t="shared" si="6"/>
        <v>7511.8</v>
      </c>
      <c r="E31" s="56">
        <f t="shared" si="6"/>
        <v>8315.5499999999993</v>
      </c>
      <c r="F31" s="56">
        <f t="shared" si="6"/>
        <v>9212.7999999999993</v>
      </c>
      <c r="G31" s="56">
        <f t="shared" si="6"/>
        <v>8936.42</v>
      </c>
      <c r="H31" s="56">
        <f t="shared" si="6"/>
        <v>8757.6899999999987</v>
      </c>
      <c r="I31" s="56">
        <f t="shared" si="6"/>
        <v>9545.880000000001</v>
      </c>
      <c r="J31" s="56">
        <f t="shared" si="6"/>
        <v>10424.1</v>
      </c>
      <c r="K31" s="56">
        <f t="shared" si="6"/>
        <v>11385.41</v>
      </c>
      <c r="L31" s="56">
        <f t="shared" si="6"/>
        <v>12387.33</v>
      </c>
      <c r="M31" s="56">
        <f t="shared" si="6"/>
        <v>13474.93</v>
      </c>
    </row>
    <row r="32" spans="1:13">
      <c r="A32" t="s">
        <v>39</v>
      </c>
      <c r="B32" s="56">
        <f>B29</f>
        <v>5887</v>
      </c>
      <c r="C32" s="56">
        <f t="shared" ref="C32:M32" si="7">C29</f>
        <v>6053.3</v>
      </c>
      <c r="D32" s="56">
        <f t="shared" si="7"/>
        <v>6343.1</v>
      </c>
      <c r="E32" s="56">
        <f t="shared" si="7"/>
        <v>6634.4400000000005</v>
      </c>
      <c r="F32" s="56">
        <f t="shared" si="7"/>
        <v>6978.48</v>
      </c>
      <c r="G32" s="56">
        <f t="shared" si="7"/>
        <v>6891.75</v>
      </c>
      <c r="H32" s="56">
        <f t="shared" si="7"/>
        <v>6802.1900000000005</v>
      </c>
      <c r="I32" s="56">
        <f t="shared" si="7"/>
        <v>7107.0599999999995</v>
      </c>
      <c r="J32" s="56">
        <f t="shared" si="7"/>
        <v>7387.43</v>
      </c>
      <c r="K32" s="56">
        <f t="shared" si="7"/>
        <v>7738.8899999999994</v>
      </c>
      <c r="L32" s="56">
        <f t="shared" si="7"/>
        <v>8139.56</v>
      </c>
      <c r="M32" s="56">
        <f t="shared" si="7"/>
        <v>8560.23</v>
      </c>
    </row>
    <row r="33" spans="1:14"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</row>
    <row r="34" spans="1:14">
      <c r="A34" s="1" t="s">
        <v>41</v>
      </c>
      <c r="B34" s="56">
        <f>B31-B32</f>
        <v>293</v>
      </c>
      <c r="C34" s="56">
        <f t="shared" ref="C34:M34" si="8">C31-C32</f>
        <v>744.69999999999982</v>
      </c>
      <c r="D34" s="56">
        <f t="shared" si="8"/>
        <v>1168.6999999999998</v>
      </c>
      <c r="E34" s="56">
        <f t="shared" si="8"/>
        <v>1681.1099999999988</v>
      </c>
      <c r="F34" s="56">
        <f t="shared" si="8"/>
        <v>2234.3199999999997</v>
      </c>
      <c r="G34" s="56">
        <f t="shared" si="8"/>
        <v>2044.67</v>
      </c>
      <c r="H34" s="56">
        <f t="shared" si="8"/>
        <v>1955.4999999999982</v>
      </c>
      <c r="I34" s="56">
        <f t="shared" si="8"/>
        <v>2438.8200000000015</v>
      </c>
      <c r="J34" s="56">
        <f t="shared" si="8"/>
        <v>3036.67</v>
      </c>
      <c r="K34" s="56">
        <f t="shared" si="8"/>
        <v>3646.5200000000004</v>
      </c>
      <c r="L34" s="56">
        <f t="shared" si="8"/>
        <v>4247.7699999999995</v>
      </c>
      <c r="M34" s="56">
        <f t="shared" si="8"/>
        <v>4914.7000000000007</v>
      </c>
    </row>
    <row r="35" spans="1:14">
      <c r="A35" t="s">
        <v>42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</row>
    <row r="36" spans="1:14">
      <c r="A36" t="s">
        <v>43</v>
      </c>
      <c r="B36" s="56">
        <f>B34-B35</f>
        <v>293</v>
      </c>
      <c r="C36" s="56">
        <f t="shared" ref="C36:M36" si="9">C34-C35</f>
        <v>744.69999999999982</v>
      </c>
      <c r="D36" s="56">
        <f t="shared" si="9"/>
        <v>1168.6999999999998</v>
      </c>
      <c r="E36" s="56">
        <f t="shared" si="9"/>
        <v>1681.1099999999988</v>
      </c>
      <c r="F36" s="56">
        <f t="shared" si="9"/>
        <v>2234.3199999999997</v>
      </c>
      <c r="G36" s="56">
        <f t="shared" si="9"/>
        <v>2044.67</v>
      </c>
      <c r="H36" s="56">
        <f t="shared" si="9"/>
        <v>1955.4999999999982</v>
      </c>
      <c r="I36" s="56">
        <f t="shared" si="9"/>
        <v>2438.8200000000015</v>
      </c>
      <c r="J36" s="56">
        <f t="shared" si="9"/>
        <v>3036.67</v>
      </c>
      <c r="K36" s="56">
        <f t="shared" si="9"/>
        <v>3646.5200000000004</v>
      </c>
      <c r="L36" s="56">
        <f t="shared" si="9"/>
        <v>4247.7699999999995</v>
      </c>
      <c r="M36" s="56">
        <f t="shared" si="9"/>
        <v>4914.7000000000007</v>
      </c>
      <c r="N36" s="11"/>
    </row>
    <row r="37" spans="1:14">
      <c r="N37" s="12"/>
    </row>
    <row r="38" spans="1:14">
      <c r="N38" s="13"/>
    </row>
    <row r="39" spans="1:14">
      <c r="N39" s="14"/>
    </row>
    <row r="40" spans="1:14" ht="17.399999999999999">
      <c r="C40" s="10"/>
      <c r="N40" s="14"/>
    </row>
    <row r="41" spans="1:14">
      <c r="N41" s="15"/>
    </row>
    <row r="42" spans="1:14">
      <c r="N42" s="15"/>
    </row>
    <row r="43" spans="1:14">
      <c r="N43" s="14"/>
    </row>
    <row r="44" spans="1:14">
      <c r="N44" s="16"/>
    </row>
    <row r="45" spans="1:14">
      <c r="N45" s="12"/>
    </row>
    <row r="46" spans="1:14">
      <c r="N46" s="11"/>
    </row>
    <row r="47" spans="1:14">
      <c r="N47" s="11"/>
    </row>
    <row r="48" spans="1:14">
      <c r="N48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BF850-74DF-2845-BA78-466C00D9CB41}">
  <dimension ref="A1:N48"/>
  <sheetViews>
    <sheetView topLeftCell="A13" workbookViewId="0">
      <selection activeCell="F9" sqref="F9"/>
    </sheetView>
  </sheetViews>
  <sheetFormatPr defaultColWidth="11.19921875" defaultRowHeight="15.6"/>
  <cols>
    <col min="1" max="1" width="34.796875" bestFit="1" customWidth="1"/>
  </cols>
  <sheetData>
    <row r="1" spans="1:13">
      <c r="A1" t="s">
        <v>4</v>
      </c>
    </row>
    <row r="2" spans="1:13">
      <c r="B2" s="17" t="s">
        <v>7</v>
      </c>
      <c r="C2" s="17" t="s">
        <v>8</v>
      </c>
      <c r="D2" s="17" t="s">
        <v>9</v>
      </c>
      <c r="E2" s="17" t="s">
        <v>10</v>
      </c>
      <c r="F2" s="17" t="s">
        <v>11</v>
      </c>
      <c r="G2" s="17" t="s">
        <v>12</v>
      </c>
      <c r="H2" s="17" t="s">
        <v>13</v>
      </c>
      <c r="I2" s="17" t="s">
        <v>14</v>
      </c>
      <c r="J2" s="17" t="s">
        <v>15</v>
      </c>
      <c r="K2" s="17" t="s">
        <v>16</v>
      </c>
      <c r="L2" s="17" t="s">
        <v>17</v>
      </c>
      <c r="M2" s="17" t="s">
        <v>18</v>
      </c>
    </row>
    <row r="3" spans="1:13">
      <c r="A3" s="1" t="s">
        <v>28</v>
      </c>
      <c r="B3" s="56">
        <v>4914.7</v>
      </c>
      <c r="C3" s="56">
        <f>B3+B34</f>
        <v>9900.9000000000015</v>
      </c>
      <c r="D3" s="56">
        <f t="shared" ref="D3:M3" si="0">C3+C34</f>
        <v>15888.1</v>
      </c>
      <c r="E3" s="56">
        <f t="shared" si="0"/>
        <v>22981.909999999996</v>
      </c>
      <c r="F3" s="56">
        <f t="shared" si="0"/>
        <v>31378.289999999997</v>
      </c>
      <c r="G3" s="56">
        <f t="shared" si="0"/>
        <v>41036.06</v>
      </c>
      <c r="H3" s="56">
        <f t="shared" si="0"/>
        <v>52189</v>
      </c>
      <c r="I3" s="56">
        <f t="shared" si="0"/>
        <v>65031.89</v>
      </c>
      <c r="J3" s="56">
        <f t="shared" si="0"/>
        <v>77423.709999999992</v>
      </c>
      <c r="K3" s="56">
        <f t="shared" si="0"/>
        <v>89236.609999999986</v>
      </c>
      <c r="L3" s="56">
        <f t="shared" si="0"/>
        <v>102609.46999999999</v>
      </c>
      <c r="M3" s="56">
        <f t="shared" si="0"/>
        <v>117554.12999999999</v>
      </c>
    </row>
    <row r="4" spans="1:13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>
      <c r="A5" s="1" t="s">
        <v>31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>
      <c r="A6" t="s">
        <v>30</v>
      </c>
      <c r="B6" s="56">
        <v>12708</v>
      </c>
      <c r="C6" s="56">
        <v>17278.8</v>
      </c>
      <c r="D6" s="56">
        <v>15000</v>
      </c>
      <c r="E6" s="56">
        <v>18700.580000000002</v>
      </c>
      <c r="F6" s="56">
        <v>12260</v>
      </c>
      <c r="G6" s="56">
        <v>22500.06</v>
      </c>
      <c r="H6" s="56">
        <v>19819.830000000002</v>
      </c>
      <c r="I6" s="56">
        <v>19680.34</v>
      </c>
      <c r="J6" s="56">
        <v>20790.61</v>
      </c>
      <c r="K6" s="56">
        <v>25600</v>
      </c>
      <c r="L6" s="56">
        <v>26863.4</v>
      </c>
      <c r="M6" s="56">
        <v>25004.76</v>
      </c>
    </row>
    <row r="7" spans="1:13">
      <c r="A7" t="s">
        <v>29</v>
      </c>
      <c r="B7" s="56">
        <v>3000</v>
      </c>
      <c r="C7" s="56">
        <v>0</v>
      </c>
      <c r="D7" s="56">
        <v>4041.24</v>
      </c>
      <c r="E7" s="56">
        <v>2300</v>
      </c>
      <c r="F7" s="56">
        <v>10819.64</v>
      </c>
      <c r="G7" s="56">
        <v>2846</v>
      </c>
      <c r="H7" s="56">
        <v>8000</v>
      </c>
      <c r="I7" s="56">
        <v>7444</v>
      </c>
      <c r="J7" s="56">
        <v>5520</v>
      </c>
      <c r="K7" s="56">
        <v>3025.94</v>
      </c>
      <c r="L7" s="56">
        <v>4253</v>
      </c>
      <c r="M7" s="56">
        <v>3000</v>
      </c>
    </row>
    <row r="8" spans="1:13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>
      <c r="A9" s="1" t="s">
        <v>32</v>
      </c>
      <c r="B9" s="56">
        <f t="shared" ref="B9:M9" si="1">B6+B7</f>
        <v>15708</v>
      </c>
      <c r="C9" s="56">
        <f t="shared" si="1"/>
        <v>17278.8</v>
      </c>
      <c r="D9" s="56">
        <f t="shared" si="1"/>
        <v>19041.239999999998</v>
      </c>
      <c r="E9" s="56">
        <f t="shared" si="1"/>
        <v>21000.58</v>
      </c>
      <c r="F9" s="56">
        <f t="shared" si="1"/>
        <v>23079.64</v>
      </c>
      <c r="G9" s="56">
        <f t="shared" si="1"/>
        <v>25346.06</v>
      </c>
      <c r="H9" s="56">
        <f t="shared" si="1"/>
        <v>27819.83</v>
      </c>
      <c r="I9" s="56">
        <f t="shared" si="1"/>
        <v>27124.34</v>
      </c>
      <c r="J9" s="56">
        <f t="shared" si="1"/>
        <v>26310.61</v>
      </c>
      <c r="K9" s="56">
        <f t="shared" si="1"/>
        <v>28625.94</v>
      </c>
      <c r="L9" s="56">
        <f t="shared" si="1"/>
        <v>31116.400000000001</v>
      </c>
      <c r="M9" s="56">
        <f t="shared" si="1"/>
        <v>28004.76</v>
      </c>
    </row>
    <row r="10" spans="1:13">
      <c r="A10" s="1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</row>
    <row r="11" spans="1:13">
      <c r="A11" s="1" t="s">
        <v>40</v>
      </c>
      <c r="B11" s="56">
        <f>B3+B9</f>
        <v>20622.7</v>
      </c>
      <c r="C11" s="56">
        <f t="shared" ref="C11:M11" si="2">C3+C9</f>
        <v>27179.7</v>
      </c>
      <c r="D11" s="56">
        <f t="shared" si="2"/>
        <v>34929.339999999997</v>
      </c>
      <c r="E11" s="56">
        <f t="shared" si="2"/>
        <v>43982.49</v>
      </c>
      <c r="F11" s="56">
        <f t="shared" si="2"/>
        <v>54457.929999999993</v>
      </c>
      <c r="G11" s="56">
        <f t="shared" si="2"/>
        <v>66382.12</v>
      </c>
      <c r="H11" s="56">
        <f t="shared" si="2"/>
        <v>80008.83</v>
      </c>
      <c r="I11" s="56">
        <f t="shared" si="2"/>
        <v>92156.23</v>
      </c>
      <c r="J11" s="56">
        <f t="shared" si="2"/>
        <v>103734.31999999999</v>
      </c>
      <c r="K11" s="56">
        <f t="shared" si="2"/>
        <v>117862.54999999999</v>
      </c>
      <c r="L11" s="56">
        <f t="shared" si="2"/>
        <v>133725.87</v>
      </c>
      <c r="M11" s="56">
        <f t="shared" si="2"/>
        <v>145558.88999999998</v>
      </c>
    </row>
    <row r="12" spans="1:13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spans="1:13">
      <c r="A13" s="1" t="s">
        <v>33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>
      <c r="A14" t="s">
        <v>27</v>
      </c>
      <c r="B14" s="56">
        <v>5497.8</v>
      </c>
      <c r="C14" s="56">
        <v>6047.6</v>
      </c>
      <c r="D14" s="56">
        <v>6694.43</v>
      </c>
      <c r="E14" s="56">
        <v>7350.2</v>
      </c>
      <c r="F14" s="56">
        <v>8077.87</v>
      </c>
      <c r="G14" s="56">
        <v>8871.1200000000008</v>
      </c>
      <c r="H14" s="56">
        <v>9736.94</v>
      </c>
      <c r="I14" s="56">
        <v>9493.52</v>
      </c>
      <c r="J14" s="56">
        <v>9208.7099999999991</v>
      </c>
      <c r="K14" s="56">
        <v>10019.08</v>
      </c>
      <c r="L14" s="56">
        <v>10890.74</v>
      </c>
      <c r="M14" s="56">
        <v>9801.67</v>
      </c>
    </row>
    <row r="15" spans="1:13"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</row>
    <row r="16" spans="1:13">
      <c r="A16" s="9" t="s">
        <v>36</v>
      </c>
      <c r="B16" s="56">
        <f>B14+B15</f>
        <v>5497.8</v>
      </c>
      <c r="C16" s="56">
        <f t="shared" ref="C16:M16" si="3">C14+C15</f>
        <v>6047.6</v>
      </c>
      <c r="D16" s="56">
        <f t="shared" si="3"/>
        <v>6694.43</v>
      </c>
      <c r="E16" s="56">
        <f t="shared" si="3"/>
        <v>7350.2</v>
      </c>
      <c r="F16" s="56">
        <f t="shared" si="3"/>
        <v>8077.87</v>
      </c>
      <c r="G16" s="56">
        <f t="shared" si="3"/>
        <v>8871.1200000000008</v>
      </c>
      <c r="H16" s="56">
        <f t="shared" si="3"/>
        <v>9736.94</v>
      </c>
      <c r="I16" s="56">
        <f t="shared" si="3"/>
        <v>9493.52</v>
      </c>
      <c r="J16" s="56">
        <f t="shared" si="3"/>
        <v>9208.7099999999991</v>
      </c>
      <c r="K16" s="56">
        <f t="shared" si="3"/>
        <v>10019.08</v>
      </c>
      <c r="L16" s="56">
        <f t="shared" si="3"/>
        <v>10890.74</v>
      </c>
      <c r="M16" s="56">
        <f t="shared" si="3"/>
        <v>9801.67</v>
      </c>
    </row>
    <row r="17" spans="1:13">
      <c r="A17" s="9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3">
      <c r="A18" s="1" t="s">
        <v>34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</row>
    <row r="19" spans="1:13">
      <c r="A19" t="s">
        <v>82</v>
      </c>
      <c r="B19" s="59">
        <v>1400</v>
      </c>
      <c r="C19" s="60">
        <v>1400</v>
      </c>
      <c r="D19" s="60">
        <v>1400</v>
      </c>
      <c r="E19" s="60">
        <v>1400</v>
      </c>
      <c r="F19" s="60">
        <v>1400</v>
      </c>
      <c r="G19" s="60">
        <v>1400</v>
      </c>
      <c r="H19" s="60">
        <v>1400</v>
      </c>
      <c r="I19" s="60">
        <v>1400</v>
      </c>
      <c r="J19" s="60">
        <v>1400</v>
      </c>
      <c r="K19" s="60">
        <v>1400</v>
      </c>
      <c r="L19" s="60">
        <v>1400</v>
      </c>
      <c r="M19" s="60">
        <v>1400</v>
      </c>
    </row>
    <row r="20" spans="1:13">
      <c r="A20" t="s">
        <v>85</v>
      </c>
      <c r="B20" s="59">
        <v>2600</v>
      </c>
      <c r="C20" s="60">
        <v>2600</v>
      </c>
      <c r="D20" s="60">
        <v>2600</v>
      </c>
      <c r="E20" s="60">
        <v>2600</v>
      </c>
      <c r="F20" s="60">
        <v>2600</v>
      </c>
      <c r="G20" s="60">
        <v>2600</v>
      </c>
      <c r="H20" s="60">
        <v>2600</v>
      </c>
      <c r="I20" s="60">
        <v>2600</v>
      </c>
      <c r="J20" s="60">
        <v>2600</v>
      </c>
      <c r="K20" s="60">
        <v>2600</v>
      </c>
      <c r="L20" s="60">
        <v>2600</v>
      </c>
      <c r="M20" s="60">
        <v>2600</v>
      </c>
    </row>
    <row r="21" spans="1:13">
      <c r="A21" t="s">
        <v>46</v>
      </c>
      <c r="B21" s="59">
        <v>400</v>
      </c>
      <c r="C21" s="60">
        <v>400</v>
      </c>
      <c r="D21" s="60">
        <v>400</v>
      </c>
      <c r="E21" s="60">
        <v>400</v>
      </c>
      <c r="F21" s="60">
        <v>400</v>
      </c>
      <c r="G21" s="60">
        <v>400</v>
      </c>
      <c r="H21" s="60">
        <v>400</v>
      </c>
      <c r="I21" s="60">
        <v>400</v>
      </c>
      <c r="J21" s="60">
        <v>400</v>
      </c>
      <c r="K21" s="60">
        <v>400</v>
      </c>
      <c r="L21" s="60">
        <v>400</v>
      </c>
      <c r="M21" s="60">
        <v>400</v>
      </c>
    </row>
    <row r="22" spans="1:13">
      <c r="A22" t="s">
        <v>86</v>
      </c>
      <c r="B22" s="59">
        <v>100</v>
      </c>
      <c r="C22" s="60">
        <v>100</v>
      </c>
      <c r="D22" s="60">
        <v>100</v>
      </c>
      <c r="E22" s="60">
        <v>100</v>
      </c>
      <c r="F22" s="60">
        <v>100</v>
      </c>
      <c r="G22" s="60">
        <v>100</v>
      </c>
      <c r="H22" s="60">
        <v>100</v>
      </c>
      <c r="I22" s="60">
        <v>100</v>
      </c>
      <c r="J22" s="60">
        <v>100</v>
      </c>
      <c r="K22" s="60">
        <v>100</v>
      </c>
      <c r="L22" s="60">
        <v>100</v>
      </c>
      <c r="M22" s="60">
        <v>100</v>
      </c>
    </row>
    <row r="23" spans="1:13">
      <c r="A23" t="s">
        <v>66</v>
      </c>
      <c r="B23" s="59">
        <v>400</v>
      </c>
      <c r="C23" s="60">
        <v>420</v>
      </c>
      <c r="D23" s="60">
        <v>410</v>
      </c>
      <c r="E23" s="60">
        <v>380</v>
      </c>
      <c r="F23" s="60">
        <v>450</v>
      </c>
      <c r="G23" s="60">
        <v>422</v>
      </c>
      <c r="H23" s="60">
        <v>396</v>
      </c>
      <c r="I23" s="60">
        <v>400</v>
      </c>
      <c r="J23" s="60">
        <v>430</v>
      </c>
      <c r="K23" s="60">
        <v>370</v>
      </c>
      <c r="L23" s="60">
        <v>437</v>
      </c>
      <c r="M23" s="60">
        <v>402</v>
      </c>
    </row>
    <row r="24" spans="1:13">
      <c r="A24" t="s">
        <v>89</v>
      </c>
      <c r="B24" s="59">
        <v>24</v>
      </c>
      <c r="C24" s="60">
        <v>24</v>
      </c>
      <c r="D24" s="60">
        <v>24</v>
      </c>
      <c r="E24" s="60">
        <v>24</v>
      </c>
      <c r="F24" s="60">
        <v>24</v>
      </c>
      <c r="G24" s="60">
        <v>24</v>
      </c>
      <c r="H24" s="60">
        <v>24</v>
      </c>
      <c r="I24" s="60">
        <v>24</v>
      </c>
      <c r="J24" s="60">
        <v>24</v>
      </c>
      <c r="K24" s="60">
        <v>24</v>
      </c>
      <c r="L24" s="60">
        <v>24</v>
      </c>
      <c r="M24" s="60">
        <v>24</v>
      </c>
    </row>
    <row r="25" spans="1:13">
      <c r="A25" t="s">
        <v>94</v>
      </c>
      <c r="B25" s="59">
        <v>300</v>
      </c>
      <c r="C25" s="60">
        <v>300</v>
      </c>
      <c r="D25" s="60">
        <v>319</v>
      </c>
      <c r="E25" s="60">
        <v>350</v>
      </c>
      <c r="F25" s="60">
        <v>370</v>
      </c>
      <c r="G25" s="60">
        <v>376</v>
      </c>
      <c r="H25" s="60">
        <v>320</v>
      </c>
      <c r="I25" s="60">
        <v>315</v>
      </c>
      <c r="J25" s="60">
        <v>335</v>
      </c>
      <c r="K25" s="60">
        <v>340</v>
      </c>
      <c r="L25" s="60">
        <v>320</v>
      </c>
      <c r="M25" s="60">
        <v>333</v>
      </c>
    </row>
    <row r="26" spans="1:13">
      <c r="A26" s="9" t="s">
        <v>35</v>
      </c>
      <c r="B26" s="56">
        <f t="shared" ref="B26:M26" si="4">SUM(B19:B25)</f>
        <v>5224</v>
      </c>
      <c r="C26" s="56">
        <f t="shared" si="4"/>
        <v>5244</v>
      </c>
      <c r="D26" s="56">
        <f t="shared" si="4"/>
        <v>5253</v>
      </c>
      <c r="E26" s="56">
        <f t="shared" si="4"/>
        <v>5254</v>
      </c>
      <c r="F26" s="56">
        <f t="shared" si="4"/>
        <v>5344</v>
      </c>
      <c r="G26" s="56">
        <f t="shared" si="4"/>
        <v>5322</v>
      </c>
      <c r="H26" s="56">
        <f t="shared" si="4"/>
        <v>5240</v>
      </c>
      <c r="I26" s="56">
        <f t="shared" si="4"/>
        <v>5239</v>
      </c>
      <c r="J26" s="56">
        <f t="shared" si="4"/>
        <v>5289</v>
      </c>
      <c r="K26" s="56">
        <f t="shared" si="4"/>
        <v>5234</v>
      </c>
      <c r="L26" s="56">
        <f t="shared" si="4"/>
        <v>5281</v>
      </c>
      <c r="M26" s="56">
        <f t="shared" si="4"/>
        <v>5259</v>
      </c>
    </row>
    <row r="27" spans="1:13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</row>
    <row r="29" spans="1:13">
      <c r="A29" s="1" t="s">
        <v>37</v>
      </c>
      <c r="B29" s="56">
        <f t="shared" ref="B29:M29" si="5">B16+B26</f>
        <v>10721.8</v>
      </c>
      <c r="C29" s="56">
        <f t="shared" si="5"/>
        <v>11291.6</v>
      </c>
      <c r="D29" s="56">
        <f t="shared" si="5"/>
        <v>11947.43</v>
      </c>
      <c r="E29" s="56">
        <f t="shared" si="5"/>
        <v>12604.2</v>
      </c>
      <c r="F29" s="56">
        <f t="shared" si="5"/>
        <v>13421.869999999999</v>
      </c>
      <c r="G29" s="56">
        <f t="shared" si="5"/>
        <v>14193.12</v>
      </c>
      <c r="H29" s="56">
        <f t="shared" si="5"/>
        <v>14976.94</v>
      </c>
      <c r="I29" s="56">
        <f t="shared" si="5"/>
        <v>14732.52</v>
      </c>
      <c r="J29" s="56">
        <f t="shared" si="5"/>
        <v>14497.71</v>
      </c>
      <c r="K29" s="56">
        <f t="shared" si="5"/>
        <v>15253.08</v>
      </c>
      <c r="L29" s="56">
        <f t="shared" si="5"/>
        <v>16171.74</v>
      </c>
      <c r="M29" s="56">
        <f t="shared" si="5"/>
        <v>15060.67</v>
      </c>
    </row>
    <row r="30" spans="1:13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</row>
    <row r="31" spans="1:13">
      <c r="A31" t="s">
        <v>38</v>
      </c>
      <c r="B31" s="56">
        <f t="shared" ref="B31:M31" si="6">B9</f>
        <v>15708</v>
      </c>
      <c r="C31" s="56">
        <f t="shared" si="6"/>
        <v>17278.8</v>
      </c>
      <c r="D31" s="56">
        <f t="shared" si="6"/>
        <v>19041.239999999998</v>
      </c>
      <c r="E31" s="56">
        <f t="shared" si="6"/>
        <v>21000.58</v>
      </c>
      <c r="F31" s="56">
        <f t="shared" si="6"/>
        <v>23079.64</v>
      </c>
      <c r="G31" s="56">
        <f t="shared" si="6"/>
        <v>25346.06</v>
      </c>
      <c r="H31" s="56">
        <f t="shared" si="6"/>
        <v>27819.83</v>
      </c>
      <c r="I31" s="56">
        <f t="shared" si="6"/>
        <v>27124.34</v>
      </c>
      <c r="J31" s="56">
        <f t="shared" si="6"/>
        <v>26310.61</v>
      </c>
      <c r="K31" s="56">
        <f t="shared" si="6"/>
        <v>28625.94</v>
      </c>
      <c r="L31" s="56">
        <f t="shared" si="6"/>
        <v>31116.400000000001</v>
      </c>
      <c r="M31" s="56">
        <f t="shared" si="6"/>
        <v>28004.76</v>
      </c>
    </row>
    <row r="32" spans="1:13">
      <c r="A32" t="s">
        <v>39</v>
      </c>
      <c r="B32" s="56">
        <f>B29</f>
        <v>10721.8</v>
      </c>
      <c r="C32" s="56">
        <f t="shared" ref="C32:M32" si="7">C29</f>
        <v>11291.6</v>
      </c>
      <c r="D32" s="56">
        <f t="shared" si="7"/>
        <v>11947.43</v>
      </c>
      <c r="E32" s="56">
        <f t="shared" si="7"/>
        <v>12604.2</v>
      </c>
      <c r="F32" s="56">
        <f t="shared" si="7"/>
        <v>13421.869999999999</v>
      </c>
      <c r="G32" s="56">
        <f t="shared" si="7"/>
        <v>14193.12</v>
      </c>
      <c r="H32" s="56">
        <f t="shared" si="7"/>
        <v>14976.94</v>
      </c>
      <c r="I32" s="56">
        <f t="shared" si="7"/>
        <v>14732.52</v>
      </c>
      <c r="J32" s="56">
        <f t="shared" si="7"/>
        <v>14497.71</v>
      </c>
      <c r="K32" s="56">
        <f t="shared" si="7"/>
        <v>15253.08</v>
      </c>
      <c r="L32" s="56">
        <f t="shared" si="7"/>
        <v>16171.74</v>
      </c>
      <c r="M32" s="56">
        <f t="shared" si="7"/>
        <v>15060.67</v>
      </c>
    </row>
    <row r="33" spans="1:14"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</row>
    <row r="34" spans="1:14">
      <c r="A34" s="1" t="s">
        <v>41</v>
      </c>
      <c r="B34" s="56">
        <f>B31-B32</f>
        <v>4986.2000000000007</v>
      </c>
      <c r="C34" s="56">
        <f t="shared" ref="C34:M34" si="8">C31-C32</f>
        <v>5987.1999999999989</v>
      </c>
      <c r="D34" s="56">
        <f t="shared" si="8"/>
        <v>7093.8099999999977</v>
      </c>
      <c r="E34" s="56">
        <f t="shared" si="8"/>
        <v>8396.380000000001</v>
      </c>
      <c r="F34" s="56">
        <f t="shared" si="8"/>
        <v>9657.77</v>
      </c>
      <c r="G34" s="56">
        <f t="shared" si="8"/>
        <v>11152.94</v>
      </c>
      <c r="H34" s="56">
        <f t="shared" si="8"/>
        <v>12842.890000000001</v>
      </c>
      <c r="I34" s="56">
        <f t="shared" si="8"/>
        <v>12391.82</v>
      </c>
      <c r="J34" s="56">
        <f t="shared" si="8"/>
        <v>11812.900000000001</v>
      </c>
      <c r="K34" s="56">
        <f t="shared" si="8"/>
        <v>13372.859999999999</v>
      </c>
      <c r="L34" s="56">
        <f t="shared" si="8"/>
        <v>14944.660000000002</v>
      </c>
      <c r="M34" s="56">
        <f t="shared" si="8"/>
        <v>12944.089999999998</v>
      </c>
    </row>
    <row r="35" spans="1:14">
      <c r="A35" t="s">
        <v>42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</row>
    <row r="36" spans="1:14">
      <c r="A36" t="s">
        <v>43</v>
      </c>
      <c r="B36" s="56">
        <f>B34-B35</f>
        <v>4986.2000000000007</v>
      </c>
      <c r="C36" s="56">
        <f t="shared" ref="C36:M36" si="9">C34-C35</f>
        <v>5987.1999999999989</v>
      </c>
      <c r="D36" s="56">
        <f t="shared" si="9"/>
        <v>7093.8099999999977</v>
      </c>
      <c r="E36" s="56">
        <f t="shared" si="9"/>
        <v>8396.380000000001</v>
      </c>
      <c r="F36" s="56">
        <f t="shared" si="9"/>
        <v>9657.77</v>
      </c>
      <c r="G36" s="56">
        <f t="shared" si="9"/>
        <v>11152.94</v>
      </c>
      <c r="H36" s="56">
        <f t="shared" si="9"/>
        <v>12842.890000000001</v>
      </c>
      <c r="I36" s="56">
        <f t="shared" si="9"/>
        <v>12391.82</v>
      </c>
      <c r="J36" s="56">
        <f t="shared" si="9"/>
        <v>11812.900000000001</v>
      </c>
      <c r="K36" s="56">
        <f t="shared" si="9"/>
        <v>13372.859999999999</v>
      </c>
      <c r="L36" s="56">
        <f t="shared" si="9"/>
        <v>14944.660000000002</v>
      </c>
      <c r="M36" s="56">
        <f t="shared" si="9"/>
        <v>12944.089999999998</v>
      </c>
      <c r="N36" s="11"/>
    </row>
    <row r="37" spans="1:14">
      <c r="N37" s="12"/>
    </row>
    <row r="38" spans="1:14">
      <c r="N38" s="13"/>
    </row>
    <row r="39" spans="1:14">
      <c r="N39" s="14"/>
    </row>
    <row r="40" spans="1:14" ht="17.399999999999999">
      <c r="C40" s="10"/>
      <c r="N40" s="14"/>
    </row>
    <row r="41" spans="1:14">
      <c r="N41" s="15"/>
    </row>
    <row r="42" spans="1:14">
      <c r="N42" s="15"/>
    </row>
    <row r="43" spans="1:14">
      <c r="N43" s="14"/>
    </row>
    <row r="44" spans="1:14">
      <c r="N44" s="16"/>
    </row>
    <row r="45" spans="1:14">
      <c r="N45" s="12"/>
    </row>
    <row r="46" spans="1:14">
      <c r="N46" s="11"/>
    </row>
    <row r="47" spans="1:14">
      <c r="N47" s="11"/>
    </row>
    <row r="48" spans="1:14">
      <c r="N48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002BE-10E4-40A2-855C-B765A0B18BFF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F4334-C914-D542-B9AA-1EA6ED310276}">
  <dimension ref="A1:N48"/>
  <sheetViews>
    <sheetView workbookViewId="0">
      <selection activeCell="E9" sqref="E9"/>
    </sheetView>
  </sheetViews>
  <sheetFormatPr defaultColWidth="11.19921875" defaultRowHeight="15.6"/>
  <cols>
    <col min="1" max="1" width="34.796875" bestFit="1" customWidth="1"/>
  </cols>
  <sheetData>
    <row r="1" spans="1:13">
      <c r="A1" t="s">
        <v>5</v>
      </c>
    </row>
    <row r="2" spans="1:13">
      <c r="B2" s="17" t="s">
        <v>7</v>
      </c>
      <c r="C2" s="17" t="s">
        <v>8</v>
      </c>
      <c r="D2" s="17" t="s">
        <v>9</v>
      </c>
      <c r="E2" s="17" t="s">
        <v>10</v>
      </c>
      <c r="F2" s="17" t="s">
        <v>11</v>
      </c>
      <c r="G2" s="17" t="s">
        <v>12</v>
      </c>
      <c r="H2" s="17" t="s">
        <v>13</v>
      </c>
      <c r="I2" s="17" t="s">
        <v>14</v>
      </c>
      <c r="J2" s="17" t="s">
        <v>15</v>
      </c>
      <c r="K2" s="17" t="s">
        <v>16</v>
      </c>
      <c r="L2" s="17" t="s">
        <v>17</v>
      </c>
      <c r="M2" s="17" t="s">
        <v>18</v>
      </c>
    </row>
    <row r="3" spans="1:13">
      <c r="A3" s="1" t="s">
        <v>28</v>
      </c>
      <c r="B3" s="56">
        <v>12944.09</v>
      </c>
      <c r="C3" s="56">
        <f>B3+B34</f>
        <v>25945.09</v>
      </c>
      <c r="D3" s="56">
        <f t="shared" ref="D3:M3" si="0">C3+C34</f>
        <v>40163.54</v>
      </c>
      <c r="E3" s="56">
        <f t="shared" si="0"/>
        <v>55452.320000000007</v>
      </c>
      <c r="F3" s="56">
        <f t="shared" si="0"/>
        <v>72054.320000000007</v>
      </c>
      <c r="G3" s="56">
        <f t="shared" si="0"/>
        <v>90408.55</v>
      </c>
      <c r="H3" s="56">
        <f t="shared" si="0"/>
        <v>110627.28</v>
      </c>
      <c r="I3" s="56">
        <f t="shared" si="0"/>
        <v>133747.81</v>
      </c>
      <c r="J3" s="56">
        <f t="shared" si="0"/>
        <v>158340.16999999998</v>
      </c>
      <c r="K3" s="56">
        <f t="shared" si="0"/>
        <v>182201.71999999997</v>
      </c>
      <c r="L3" s="56">
        <f t="shared" si="0"/>
        <v>192797.49999999997</v>
      </c>
      <c r="M3" s="56">
        <f t="shared" si="0"/>
        <v>223924.07999999996</v>
      </c>
    </row>
    <row r="4" spans="1:13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>
      <c r="A5" s="1" t="s">
        <v>31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>
      <c r="A6" t="s">
        <v>30</v>
      </c>
      <c r="B6" s="56">
        <v>30460</v>
      </c>
      <c r="C6" s="56">
        <v>27520</v>
      </c>
      <c r="D6" s="56">
        <v>34495.050000000003</v>
      </c>
      <c r="E6" s="56">
        <v>38907.69</v>
      </c>
      <c r="F6" s="56">
        <v>39370.81</v>
      </c>
      <c r="G6" s="56">
        <v>39250.28</v>
      </c>
      <c r="H6" s="56">
        <v>45871.58</v>
      </c>
      <c r="I6" s="56">
        <v>46550.94</v>
      </c>
      <c r="J6" s="56">
        <v>45691.62</v>
      </c>
      <c r="K6" s="56">
        <v>49000.79</v>
      </c>
      <c r="L6" s="56">
        <v>55283.97</v>
      </c>
      <c r="M6" s="56">
        <v>66900.490000000005</v>
      </c>
    </row>
    <row r="7" spans="1:13">
      <c r="A7" t="s">
        <v>29</v>
      </c>
      <c r="B7" s="56">
        <v>3000</v>
      </c>
      <c r="C7" s="56">
        <v>7613</v>
      </c>
      <c r="D7" s="56">
        <v>2500</v>
      </c>
      <c r="E7" s="56">
        <v>0</v>
      </c>
      <c r="F7" s="56">
        <v>1848</v>
      </c>
      <c r="G7" s="56">
        <v>5637</v>
      </c>
      <c r="H7" s="56">
        <v>3280</v>
      </c>
      <c r="I7" s="56">
        <v>4665</v>
      </c>
      <c r="J7" s="56">
        <v>4500</v>
      </c>
      <c r="K7" s="56">
        <v>6210</v>
      </c>
      <c r="L7" s="56">
        <v>6000</v>
      </c>
      <c r="M7" s="56">
        <v>1186</v>
      </c>
    </row>
    <row r="8" spans="1:13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>
      <c r="A9" s="1" t="s">
        <v>32</v>
      </c>
      <c r="B9" s="56">
        <f t="shared" ref="B9:M9" si="1">B6+B7</f>
        <v>33460</v>
      </c>
      <c r="C9" s="56">
        <f t="shared" si="1"/>
        <v>35133</v>
      </c>
      <c r="D9" s="56">
        <f t="shared" si="1"/>
        <v>36995.050000000003</v>
      </c>
      <c r="E9" s="56">
        <f t="shared" si="1"/>
        <v>38907.69</v>
      </c>
      <c r="F9" s="56">
        <f t="shared" si="1"/>
        <v>41218.81</v>
      </c>
      <c r="G9" s="56">
        <f t="shared" si="1"/>
        <v>44887.28</v>
      </c>
      <c r="H9" s="56">
        <f t="shared" si="1"/>
        <v>49151.58</v>
      </c>
      <c r="I9" s="56">
        <f t="shared" si="1"/>
        <v>51215.94</v>
      </c>
      <c r="J9" s="56">
        <f t="shared" si="1"/>
        <v>50191.62</v>
      </c>
      <c r="K9" s="56">
        <f t="shared" si="1"/>
        <v>55210.79</v>
      </c>
      <c r="L9" s="56">
        <f t="shared" si="1"/>
        <v>61283.97</v>
      </c>
      <c r="M9" s="56">
        <f t="shared" si="1"/>
        <v>68086.490000000005</v>
      </c>
    </row>
    <row r="10" spans="1:13">
      <c r="A10" s="1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</row>
    <row r="11" spans="1:13">
      <c r="A11" s="1" t="s">
        <v>40</v>
      </c>
      <c r="B11" s="56">
        <f>B3+B9</f>
        <v>46404.09</v>
      </c>
      <c r="C11" s="56">
        <f t="shared" ref="C11:M11" si="2">C3+C9</f>
        <v>61078.09</v>
      </c>
      <c r="D11" s="56">
        <f t="shared" si="2"/>
        <v>77158.59</v>
      </c>
      <c r="E11" s="56">
        <f t="shared" si="2"/>
        <v>94360.010000000009</v>
      </c>
      <c r="F11" s="56">
        <f t="shared" si="2"/>
        <v>113273.13</v>
      </c>
      <c r="G11" s="56">
        <f t="shared" si="2"/>
        <v>135295.83000000002</v>
      </c>
      <c r="H11" s="56">
        <f t="shared" si="2"/>
        <v>159778.85999999999</v>
      </c>
      <c r="I11" s="56">
        <f t="shared" si="2"/>
        <v>184963.75</v>
      </c>
      <c r="J11" s="56">
        <f t="shared" si="2"/>
        <v>208531.78999999998</v>
      </c>
      <c r="K11" s="56">
        <f t="shared" si="2"/>
        <v>237412.50999999998</v>
      </c>
      <c r="L11" s="56">
        <f t="shared" si="2"/>
        <v>254081.46999999997</v>
      </c>
      <c r="M11" s="56">
        <f t="shared" si="2"/>
        <v>292010.56999999995</v>
      </c>
    </row>
    <row r="12" spans="1:13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spans="1:13">
      <c r="A13" s="1" t="s">
        <v>33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>
      <c r="A14" t="s">
        <v>27</v>
      </c>
      <c r="B14" s="56">
        <v>11711</v>
      </c>
      <c r="C14" s="56">
        <v>12296.55</v>
      </c>
      <c r="D14" s="56">
        <v>12948.27</v>
      </c>
      <c r="E14" s="56">
        <v>13617.69</v>
      </c>
      <c r="F14" s="56">
        <v>14426.58</v>
      </c>
      <c r="G14" s="56">
        <v>15710.55</v>
      </c>
      <c r="H14" s="56">
        <v>17203.05</v>
      </c>
      <c r="I14" s="56">
        <v>17925.580000000002</v>
      </c>
      <c r="J14" s="56">
        <v>17567.07</v>
      </c>
      <c r="K14" s="56">
        <v>35887.01</v>
      </c>
      <c r="L14" s="56">
        <v>21449.39</v>
      </c>
      <c r="M14" s="56">
        <v>23830.27</v>
      </c>
    </row>
    <row r="15" spans="1:13"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</row>
    <row r="16" spans="1:13">
      <c r="A16" s="9" t="s">
        <v>36</v>
      </c>
      <c r="B16" s="56">
        <f>B14+B15</f>
        <v>11711</v>
      </c>
      <c r="C16" s="56">
        <f t="shared" ref="C16:M16" si="3">C14+C15</f>
        <v>12296.55</v>
      </c>
      <c r="D16" s="56">
        <f t="shared" si="3"/>
        <v>12948.27</v>
      </c>
      <c r="E16" s="56">
        <f t="shared" si="3"/>
        <v>13617.69</v>
      </c>
      <c r="F16" s="56">
        <f t="shared" si="3"/>
        <v>14426.58</v>
      </c>
      <c r="G16" s="56">
        <f t="shared" si="3"/>
        <v>15710.55</v>
      </c>
      <c r="H16" s="56">
        <f t="shared" si="3"/>
        <v>17203.05</v>
      </c>
      <c r="I16" s="56">
        <f t="shared" si="3"/>
        <v>17925.580000000002</v>
      </c>
      <c r="J16" s="56">
        <f t="shared" si="3"/>
        <v>17567.07</v>
      </c>
      <c r="K16" s="56">
        <f t="shared" si="3"/>
        <v>35887.01</v>
      </c>
      <c r="L16" s="56">
        <f t="shared" si="3"/>
        <v>21449.39</v>
      </c>
      <c r="M16" s="56">
        <f t="shared" si="3"/>
        <v>23830.27</v>
      </c>
    </row>
    <row r="17" spans="1:13">
      <c r="A17" s="9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3">
      <c r="A18" s="1" t="s">
        <v>34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</row>
    <row r="19" spans="1:13">
      <c r="A19" t="s">
        <v>82</v>
      </c>
      <c r="B19" s="61">
        <v>1800</v>
      </c>
      <c r="C19" s="61">
        <v>1800</v>
      </c>
      <c r="D19" s="61">
        <v>1800</v>
      </c>
      <c r="E19" s="61">
        <v>1800</v>
      </c>
      <c r="F19" s="61">
        <v>1800</v>
      </c>
      <c r="G19" s="61">
        <v>1800</v>
      </c>
      <c r="H19" s="61">
        <v>1800</v>
      </c>
      <c r="I19" s="61">
        <v>1800</v>
      </c>
      <c r="J19" s="61">
        <v>1800</v>
      </c>
      <c r="K19" s="61">
        <v>1800</v>
      </c>
      <c r="L19" s="61">
        <v>1800</v>
      </c>
      <c r="M19" s="61">
        <v>1800</v>
      </c>
    </row>
    <row r="20" spans="1:13">
      <c r="A20" t="s">
        <v>85</v>
      </c>
      <c r="B20" s="61">
        <v>4000</v>
      </c>
      <c r="C20" s="61">
        <v>4000</v>
      </c>
      <c r="D20" s="61">
        <v>4000</v>
      </c>
      <c r="E20" s="61">
        <v>4000</v>
      </c>
      <c r="F20" s="61">
        <v>4000</v>
      </c>
      <c r="G20" s="61">
        <v>4000</v>
      </c>
      <c r="H20" s="61">
        <v>4000</v>
      </c>
      <c r="I20" s="61">
        <v>4000</v>
      </c>
      <c r="J20" s="61">
        <v>4000</v>
      </c>
      <c r="K20" s="61">
        <v>4000</v>
      </c>
      <c r="L20" s="61">
        <v>4000</v>
      </c>
      <c r="M20" s="61">
        <v>4000</v>
      </c>
    </row>
    <row r="21" spans="1:13">
      <c r="A21" t="s">
        <v>46</v>
      </c>
      <c r="B21" s="61">
        <v>600</v>
      </c>
      <c r="C21" s="61">
        <v>600</v>
      </c>
      <c r="D21" s="61">
        <v>600</v>
      </c>
      <c r="E21" s="61">
        <v>600</v>
      </c>
      <c r="F21" s="61">
        <v>600</v>
      </c>
      <c r="G21" s="61">
        <v>600</v>
      </c>
      <c r="H21" s="61">
        <v>600</v>
      </c>
      <c r="I21" s="61">
        <v>600</v>
      </c>
      <c r="J21" s="61">
        <v>600</v>
      </c>
      <c r="K21" s="61">
        <v>600</v>
      </c>
      <c r="L21" s="61">
        <v>600</v>
      </c>
      <c r="M21" s="61">
        <v>600</v>
      </c>
    </row>
    <row r="22" spans="1:13">
      <c r="A22" t="s">
        <v>86</v>
      </c>
      <c r="B22" s="61">
        <v>100</v>
      </c>
      <c r="C22" s="61">
        <v>100</v>
      </c>
      <c r="D22" s="61">
        <v>100</v>
      </c>
      <c r="E22" s="61">
        <v>100</v>
      </c>
      <c r="F22" s="61">
        <v>100</v>
      </c>
      <c r="G22" s="61">
        <v>100</v>
      </c>
      <c r="H22" s="61">
        <v>100</v>
      </c>
      <c r="I22" s="61">
        <v>100</v>
      </c>
      <c r="J22" s="61">
        <v>100</v>
      </c>
      <c r="K22" s="61">
        <v>100</v>
      </c>
      <c r="L22" s="61">
        <v>100</v>
      </c>
      <c r="M22" s="61">
        <v>100</v>
      </c>
    </row>
    <row r="23" spans="1:13">
      <c r="A23" t="s">
        <v>66</v>
      </c>
      <c r="B23" s="56">
        <v>700</v>
      </c>
      <c r="C23" s="56">
        <v>600</v>
      </c>
      <c r="D23" s="56">
        <v>620</v>
      </c>
      <c r="E23" s="56">
        <v>650</v>
      </c>
      <c r="F23" s="56">
        <v>590</v>
      </c>
      <c r="G23" s="56">
        <v>710</v>
      </c>
      <c r="H23" s="56">
        <v>620</v>
      </c>
      <c r="I23" s="56">
        <v>680</v>
      </c>
      <c r="J23" s="56">
        <v>715</v>
      </c>
      <c r="K23" s="56">
        <v>720</v>
      </c>
      <c r="L23" s="56">
        <v>640</v>
      </c>
      <c r="M23" s="56">
        <v>665</v>
      </c>
    </row>
    <row r="24" spans="1:13">
      <c r="A24" t="s">
        <v>89</v>
      </c>
      <c r="B24" s="61">
        <v>48</v>
      </c>
      <c r="C24" s="56">
        <v>48</v>
      </c>
      <c r="D24" s="56">
        <v>48</v>
      </c>
      <c r="E24" s="56">
        <v>48</v>
      </c>
      <c r="F24" s="56">
        <v>48</v>
      </c>
      <c r="G24" s="56">
        <v>48</v>
      </c>
      <c r="H24" s="56">
        <v>48</v>
      </c>
      <c r="I24" s="56">
        <v>48</v>
      </c>
      <c r="J24" s="56">
        <v>48</v>
      </c>
      <c r="K24" s="56">
        <v>48</v>
      </c>
      <c r="L24" s="56">
        <v>48</v>
      </c>
      <c r="M24" s="56">
        <v>48</v>
      </c>
    </row>
    <row r="25" spans="1:13">
      <c r="A25" t="s">
        <v>94</v>
      </c>
      <c r="B25" s="61">
        <v>1500</v>
      </c>
      <c r="C25" s="56">
        <v>1470</v>
      </c>
      <c r="D25" s="61">
        <v>1590</v>
      </c>
      <c r="E25" s="61">
        <v>1490</v>
      </c>
      <c r="F25" s="61">
        <v>1300</v>
      </c>
      <c r="G25" s="61">
        <v>1700</v>
      </c>
      <c r="H25" s="61">
        <v>1660</v>
      </c>
      <c r="I25" s="61">
        <v>1470</v>
      </c>
      <c r="J25" s="61">
        <v>1500</v>
      </c>
      <c r="K25" s="61">
        <v>1460</v>
      </c>
      <c r="L25" s="61">
        <v>1520</v>
      </c>
      <c r="M25" s="61">
        <v>1430</v>
      </c>
    </row>
    <row r="26" spans="1:13">
      <c r="A26" s="9" t="s">
        <v>35</v>
      </c>
      <c r="B26" s="56">
        <f t="shared" ref="B26:M26" si="4">SUM(B19:B25)</f>
        <v>8748</v>
      </c>
      <c r="C26" s="56">
        <f t="shared" si="4"/>
        <v>8618</v>
      </c>
      <c r="D26" s="56">
        <f t="shared" si="4"/>
        <v>8758</v>
      </c>
      <c r="E26" s="56">
        <f t="shared" si="4"/>
        <v>8688</v>
      </c>
      <c r="F26" s="56">
        <f t="shared" si="4"/>
        <v>8438</v>
      </c>
      <c r="G26" s="56">
        <f t="shared" si="4"/>
        <v>8958</v>
      </c>
      <c r="H26" s="56">
        <f t="shared" si="4"/>
        <v>8828</v>
      </c>
      <c r="I26" s="56">
        <f t="shared" si="4"/>
        <v>8698</v>
      </c>
      <c r="J26" s="56">
        <f t="shared" si="4"/>
        <v>8763</v>
      </c>
      <c r="K26" s="56">
        <f t="shared" si="4"/>
        <v>8728</v>
      </c>
      <c r="L26" s="56">
        <f t="shared" si="4"/>
        <v>8708</v>
      </c>
      <c r="M26" s="56">
        <f t="shared" si="4"/>
        <v>8643</v>
      </c>
    </row>
    <row r="27" spans="1:13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</row>
    <row r="29" spans="1:13">
      <c r="A29" s="1" t="s">
        <v>37</v>
      </c>
      <c r="B29" s="56">
        <f t="shared" ref="B29:M29" si="5">B16+B26</f>
        <v>20459</v>
      </c>
      <c r="C29" s="56">
        <f t="shared" si="5"/>
        <v>20914.55</v>
      </c>
      <c r="D29" s="56">
        <f t="shared" si="5"/>
        <v>21706.27</v>
      </c>
      <c r="E29" s="56">
        <f t="shared" si="5"/>
        <v>22305.690000000002</v>
      </c>
      <c r="F29" s="56">
        <f t="shared" si="5"/>
        <v>22864.58</v>
      </c>
      <c r="G29" s="56">
        <f t="shared" si="5"/>
        <v>24668.55</v>
      </c>
      <c r="H29" s="56">
        <f t="shared" si="5"/>
        <v>26031.05</v>
      </c>
      <c r="I29" s="56">
        <f t="shared" si="5"/>
        <v>26623.58</v>
      </c>
      <c r="J29" s="56">
        <f t="shared" si="5"/>
        <v>26330.07</v>
      </c>
      <c r="K29" s="56">
        <f t="shared" si="5"/>
        <v>44615.01</v>
      </c>
      <c r="L29" s="56">
        <f t="shared" si="5"/>
        <v>30157.39</v>
      </c>
      <c r="M29" s="56">
        <f t="shared" si="5"/>
        <v>32473.27</v>
      </c>
    </row>
    <row r="30" spans="1:13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</row>
    <row r="31" spans="1:13">
      <c r="A31" t="s">
        <v>38</v>
      </c>
      <c r="B31" s="56">
        <f t="shared" ref="B31:M31" si="6">B9</f>
        <v>33460</v>
      </c>
      <c r="C31" s="56">
        <f t="shared" si="6"/>
        <v>35133</v>
      </c>
      <c r="D31" s="56">
        <f t="shared" si="6"/>
        <v>36995.050000000003</v>
      </c>
      <c r="E31" s="56">
        <f t="shared" si="6"/>
        <v>38907.69</v>
      </c>
      <c r="F31" s="56">
        <f t="shared" si="6"/>
        <v>41218.81</v>
      </c>
      <c r="G31" s="56">
        <f t="shared" si="6"/>
        <v>44887.28</v>
      </c>
      <c r="H31" s="56">
        <f t="shared" si="6"/>
        <v>49151.58</v>
      </c>
      <c r="I31" s="56">
        <f t="shared" si="6"/>
        <v>51215.94</v>
      </c>
      <c r="J31" s="56">
        <f t="shared" si="6"/>
        <v>50191.62</v>
      </c>
      <c r="K31" s="56">
        <f t="shared" si="6"/>
        <v>55210.79</v>
      </c>
      <c r="L31" s="56">
        <f t="shared" si="6"/>
        <v>61283.97</v>
      </c>
      <c r="M31" s="56">
        <f t="shared" si="6"/>
        <v>68086.490000000005</v>
      </c>
    </row>
    <row r="32" spans="1:13">
      <c r="A32" t="s">
        <v>39</v>
      </c>
      <c r="B32" s="56">
        <f>B29</f>
        <v>20459</v>
      </c>
      <c r="C32" s="56">
        <f t="shared" ref="C32:M32" si="7">C29</f>
        <v>20914.55</v>
      </c>
      <c r="D32" s="56">
        <f t="shared" si="7"/>
        <v>21706.27</v>
      </c>
      <c r="E32" s="56">
        <f t="shared" si="7"/>
        <v>22305.690000000002</v>
      </c>
      <c r="F32" s="56">
        <f t="shared" si="7"/>
        <v>22864.58</v>
      </c>
      <c r="G32" s="56">
        <f t="shared" si="7"/>
        <v>24668.55</v>
      </c>
      <c r="H32" s="56">
        <f t="shared" si="7"/>
        <v>26031.05</v>
      </c>
      <c r="I32" s="56">
        <f t="shared" si="7"/>
        <v>26623.58</v>
      </c>
      <c r="J32" s="56">
        <f t="shared" si="7"/>
        <v>26330.07</v>
      </c>
      <c r="K32" s="56">
        <f t="shared" si="7"/>
        <v>44615.01</v>
      </c>
      <c r="L32" s="56">
        <f t="shared" si="7"/>
        <v>30157.39</v>
      </c>
      <c r="M32" s="56">
        <f t="shared" si="7"/>
        <v>32473.27</v>
      </c>
    </row>
    <row r="33" spans="1:14"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</row>
    <row r="34" spans="1:14">
      <c r="A34" s="1" t="s">
        <v>41</v>
      </c>
      <c r="B34" s="56">
        <f>B31-B32</f>
        <v>13001</v>
      </c>
      <c r="C34" s="56">
        <f t="shared" ref="C34:M34" si="8">C31-C32</f>
        <v>14218.45</v>
      </c>
      <c r="D34" s="56">
        <f t="shared" si="8"/>
        <v>15288.780000000002</v>
      </c>
      <c r="E34" s="56">
        <f t="shared" si="8"/>
        <v>16602</v>
      </c>
      <c r="F34" s="56">
        <f t="shared" si="8"/>
        <v>18354.229999999996</v>
      </c>
      <c r="G34" s="56">
        <f t="shared" si="8"/>
        <v>20218.73</v>
      </c>
      <c r="H34" s="56">
        <f t="shared" si="8"/>
        <v>23120.530000000002</v>
      </c>
      <c r="I34" s="56">
        <f t="shared" si="8"/>
        <v>24592.36</v>
      </c>
      <c r="J34" s="56">
        <f t="shared" si="8"/>
        <v>23861.550000000003</v>
      </c>
      <c r="K34" s="56">
        <f t="shared" si="8"/>
        <v>10595.779999999999</v>
      </c>
      <c r="L34" s="56">
        <f t="shared" si="8"/>
        <v>31126.58</v>
      </c>
      <c r="M34" s="56">
        <f t="shared" si="8"/>
        <v>35613.22</v>
      </c>
    </row>
    <row r="35" spans="1:14">
      <c r="A35" t="s">
        <v>42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</row>
    <row r="36" spans="1:14">
      <c r="A36" t="s">
        <v>43</v>
      </c>
      <c r="B36" s="56">
        <f>B34-B35</f>
        <v>13001</v>
      </c>
      <c r="C36" s="56">
        <f t="shared" ref="C36:M36" si="9">C34-C35</f>
        <v>14218.45</v>
      </c>
      <c r="D36" s="56">
        <f t="shared" si="9"/>
        <v>15288.780000000002</v>
      </c>
      <c r="E36" s="56">
        <f t="shared" si="9"/>
        <v>16602</v>
      </c>
      <c r="F36" s="56">
        <f t="shared" si="9"/>
        <v>18354.229999999996</v>
      </c>
      <c r="G36" s="56">
        <f t="shared" si="9"/>
        <v>20218.73</v>
      </c>
      <c r="H36" s="56">
        <f t="shared" si="9"/>
        <v>23120.530000000002</v>
      </c>
      <c r="I36" s="56">
        <f t="shared" si="9"/>
        <v>24592.36</v>
      </c>
      <c r="J36" s="56">
        <f t="shared" si="9"/>
        <v>23861.550000000003</v>
      </c>
      <c r="K36" s="56">
        <f t="shared" si="9"/>
        <v>10595.779999999999</v>
      </c>
      <c r="L36" s="56">
        <f t="shared" si="9"/>
        <v>31126.58</v>
      </c>
      <c r="M36" s="56">
        <f t="shared" si="9"/>
        <v>35613.22</v>
      </c>
      <c r="N36" s="11"/>
    </row>
    <row r="37" spans="1:14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12"/>
    </row>
    <row r="38" spans="1:14">
      <c r="N38" s="13"/>
    </row>
    <row r="39" spans="1:14">
      <c r="N39" s="14"/>
    </row>
    <row r="40" spans="1:14" ht="17.399999999999999">
      <c r="C40" s="10"/>
      <c r="N40" s="14"/>
    </row>
    <row r="41" spans="1:14">
      <c r="N41" s="15"/>
    </row>
    <row r="42" spans="1:14">
      <c r="N42" s="15"/>
    </row>
    <row r="43" spans="1:14">
      <c r="N43" s="14"/>
    </row>
    <row r="44" spans="1:14">
      <c r="N44" s="16"/>
    </row>
    <row r="45" spans="1:14">
      <c r="N45" s="12"/>
    </row>
    <row r="46" spans="1:14">
      <c r="N46" s="11"/>
    </row>
    <row r="47" spans="1:14">
      <c r="N47" s="11"/>
    </row>
    <row r="48" spans="1:14">
      <c r="N48" s="1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479F1-354D-4447-811C-763764FC9EB1}">
  <dimension ref="A1:J70"/>
  <sheetViews>
    <sheetView workbookViewId="0">
      <selection activeCell="G38" sqref="G38"/>
    </sheetView>
  </sheetViews>
  <sheetFormatPr defaultColWidth="11.19921875" defaultRowHeight="15.6"/>
  <sheetData>
    <row r="1" spans="1:3">
      <c r="A1" s="1" t="s">
        <v>131</v>
      </c>
    </row>
    <row r="3" spans="1:3">
      <c r="A3" s="22" t="s">
        <v>128</v>
      </c>
    </row>
    <row r="4" spans="1:3">
      <c r="A4" s="19" t="s">
        <v>113</v>
      </c>
      <c r="C4" s="28">
        <v>4914.7</v>
      </c>
    </row>
    <row r="5" spans="1:3">
      <c r="A5" s="19" t="s">
        <v>29</v>
      </c>
      <c r="C5" s="27">
        <v>3500</v>
      </c>
    </row>
    <row r="6" spans="1:3">
      <c r="A6" s="19" t="s">
        <v>114</v>
      </c>
      <c r="C6" s="27">
        <v>4000</v>
      </c>
    </row>
    <row r="7" spans="1:3">
      <c r="A7" s="22" t="s">
        <v>115</v>
      </c>
      <c r="C7" s="51">
        <f>SUM(C4:C6)</f>
        <v>12414.7</v>
      </c>
    </row>
    <row r="9" spans="1:3">
      <c r="A9" s="22" t="s">
        <v>129</v>
      </c>
    </row>
    <row r="10" spans="1:3">
      <c r="A10" s="19" t="s">
        <v>130</v>
      </c>
      <c r="C10" s="27">
        <v>15000</v>
      </c>
    </row>
    <row r="11" spans="1:3">
      <c r="A11" s="19" t="s">
        <v>116</v>
      </c>
      <c r="C11" s="52">
        <v>3000</v>
      </c>
    </row>
    <row r="12" spans="1:3">
      <c r="A12" s="22" t="s">
        <v>117</v>
      </c>
      <c r="C12" s="53">
        <f>C10-C11</f>
        <v>12000</v>
      </c>
    </row>
    <row r="13" spans="1:3">
      <c r="A13" s="22" t="s">
        <v>118</v>
      </c>
      <c r="C13" s="51">
        <f>C7+C12</f>
        <v>24414.7</v>
      </c>
    </row>
    <row r="15" spans="1:3">
      <c r="A15" s="22" t="s">
        <v>132</v>
      </c>
    </row>
    <row r="16" spans="1:3">
      <c r="A16" s="19" t="s">
        <v>119</v>
      </c>
      <c r="C16" s="27">
        <v>2500</v>
      </c>
    </row>
    <row r="17" spans="1:4" ht="62.4">
      <c r="A17" s="20" t="s">
        <v>121</v>
      </c>
      <c r="C17" s="27">
        <v>2000</v>
      </c>
    </row>
    <row r="18" spans="1:4" ht="46.8">
      <c r="A18" s="21" t="s">
        <v>134</v>
      </c>
      <c r="C18" s="53">
        <f>C16+C17</f>
        <v>4500</v>
      </c>
    </row>
    <row r="19" spans="1:4">
      <c r="A19" s="21"/>
    </row>
    <row r="20" spans="1:4">
      <c r="A20" s="22" t="s">
        <v>133</v>
      </c>
    </row>
    <row r="21" spans="1:4">
      <c r="A21" s="19" t="s">
        <v>120</v>
      </c>
      <c r="C21" s="27">
        <v>12000</v>
      </c>
    </row>
    <row r="22" spans="1:4">
      <c r="A22" s="22" t="s">
        <v>122</v>
      </c>
      <c r="C22" s="53">
        <f>C18+C21</f>
        <v>16500</v>
      </c>
    </row>
    <row r="24" spans="1:4">
      <c r="A24" s="22" t="s">
        <v>123</v>
      </c>
    </row>
    <row r="25" spans="1:4">
      <c r="A25" s="19" t="s">
        <v>124</v>
      </c>
      <c r="C25" s="26">
        <v>30000</v>
      </c>
    </row>
    <row r="26" spans="1:4">
      <c r="A26" s="19" t="s">
        <v>125</v>
      </c>
      <c r="C26" s="54">
        <v>22085.3</v>
      </c>
      <c r="D26" s="8"/>
    </row>
    <row r="27" spans="1:4">
      <c r="A27" s="22" t="s">
        <v>126</v>
      </c>
      <c r="C27" s="51">
        <f>C13-C22</f>
        <v>7914.7000000000007</v>
      </c>
      <c r="D27" s="51">
        <f>C25-C26</f>
        <v>7914.7000000000007</v>
      </c>
    </row>
    <row r="28" spans="1:4">
      <c r="A28" s="22" t="s">
        <v>127</v>
      </c>
      <c r="C28" s="51">
        <f>C22+C27</f>
        <v>24414.7</v>
      </c>
    </row>
    <row r="30" spans="1:4">
      <c r="A30" s="55" t="s">
        <v>135</v>
      </c>
    </row>
    <row r="31" spans="1:4">
      <c r="A31" s="1" t="s">
        <v>144</v>
      </c>
    </row>
    <row r="32" spans="1:4">
      <c r="A32" s="64" t="s">
        <v>153</v>
      </c>
    </row>
    <row r="33" spans="1:1">
      <c r="A33" s="64" t="s">
        <v>149</v>
      </c>
    </row>
    <row r="34" spans="1:1">
      <c r="A34" s="64" t="s">
        <v>151</v>
      </c>
    </row>
    <row r="35" spans="1:1">
      <c r="A35" s="64" t="s">
        <v>150</v>
      </c>
    </row>
    <row r="56" spans="10:10" ht="18">
      <c r="J56" s="7"/>
    </row>
    <row r="58" spans="10:10">
      <c r="J58" s="4"/>
    </row>
    <row r="60" spans="10:10">
      <c r="J60" s="4"/>
    </row>
    <row r="62" spans="10:10">
      <c r="J62" s="5"/>
    </row>
    <row r="63" spans="10:10">
      <c r="J63" s="5"/>
    </row>
    <row r="64" spans="10:10">
      <c r="J64" s="5"/>
    </row>
    <row r="65" spans="10:10">
      <c r="J65" s="5"/>
    </row>
    <row r="67" spans="10:10">
      <c r="J67" s="5"/>
    </row>
    <row r="68" spans="10:10">
      <c r="J68" s="4"/>
    </row>
    <row r="69" spans="10:10">
      <c r="J69" s="4"/>
    </row>
    <row r="70" spans="10:10">
      <c r="J70" s="4"/>
    </row>
  </sheetData>
  <conditionalFormatting sqref="C10:C11">
    <cfRule type="expression" dxfId="1" priority="1">
      <formula>C11&lt;0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Start Up Costs </vt:lpstr>
      <vt:lpstr>Income Statement Year 1 </vt:lpstr>
      <vt:lpstr>Income Statement Year 2 </vt:lpstr>
      <vt:lpstr>Income Statement Year 3</vt:lpstr>
      <vt:lpstr>Cash Flow Year 1 </vt:lpstr>
      <vt:lpstr>Cash Flow Year 2</vt:lpstr>
      <vt:lpstr>Sheet1</vt:lpstr>
      <vt:lpstr>Cash Flow Year 3</vt:lpstr>
      <vt:lpstr>Balance Sheet Year 1 </vt:lpstr>
      <vt:lpstr>Balance Sheet Year 2 </vt:lpstr>
      <vt:lpstr>Balance Sheet Year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Fidelia Ozenua</cp:lastModifiedBy>
  <dcterms:created xsi:type="dcterms:W3CDTF">2022-03-19T15:50:25Z</dcterms:created>
  <dcterms:modified xsi:type="dcterms:W3CDTF">2025-03-17T00:15:27Z</dcterms:modified>
</cp:coreProperties>
</file>